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G40" i="6"/>
  <c r="E42" i="6"/>
  <c r="F42" i="6"/>
  <c r="D30" i="3"/>
  <c r="F30" i="1" s="1"/>
  <c r="H27" i="8" l="1"/>
  <c r="H47" i="5"/>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<sst xmlns="http://schemas.openxmlformats.org/spreadsheetml/2006/main" count="281" uniqueCount="196">
  <si>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</si>
  <si>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</si>
  <si>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</si>
  <si>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</si>
  <si>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</si>
  <si>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</si>
  <si>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</si>
  <si>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</si>
  <si>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</si>
  <si>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</si>
  <si>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</si>
  <si>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</si>
  <si>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</si>
  <si>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</si>
  <si>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</si>
  <si>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</si>
  <si>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</si>
  <si>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</si>
  <si>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</si>
  <si>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</si>
  <si>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</si>
  <si>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</si>
  <si>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</si>
  <si>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</si>
  <si>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</si>
  <si>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</si>
  <si>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</si>
  <si>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</si>
  <si>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</si>
  <si>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</si>
  <si>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</si>
  <si>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</si>
  <si>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</si>
  <si>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Zielszenario Energiewende Gemeinde Aschheim</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</si>
  <si>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</si>
  <si>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</si>
  <si>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</si>
  <si>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</si>
  <si>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</si>
  <si>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</si>
  <si>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</si>
  <si>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</si>
  <si>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</si>
  <si>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</si>
  <si>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</si>
  <si>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</si>
  <si>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</si>
  <si>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</si>
  <si>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</si>
  <si>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</si>
  <si>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</si>
  <si>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</si>
  <si>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</si>
  <si>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</si>
  <si>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</si>
  <si>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</si>
  <si>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</si>
  <si>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</si>
  <si>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</si>
  <si>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</si>
  <si>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</si>
  <si>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</si>
  <si>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</si>
  <si>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</si>
  <si>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</si>
  <si>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</si>
  <si>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</si>
  <si>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</si>
  <si>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</si>
  <si>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</si>
  <si>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</si>
  <si>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</si>
  <si>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</si>
  <si>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</si>
  <si>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</si>
  <si>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</si>
  <si>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</si>
  <si>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</si>
  <si>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</si>
  <si>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</si>
  <si>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</si>
  <si>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</si>
  <si>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</si>
  <si>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</si>
  <si>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</si>
  <si>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</si>
  <si>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</si>
  <si>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</si>
  <si>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</si>
  <si>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</si>
  <si>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</si>
  <si>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</si>
  <si>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</si>
  <si>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</si>
  <si>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</si>
  <si>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</si>
  <si>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</si>
  <si>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</si>
  <si>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</si>
  <si>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</si>
  <si>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</si>
  <si>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</si>
  <si>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</si>
  <si>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</si>
  <si>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</si>
  <si>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</si>
  <si>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</si>
  <si>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</si>
  <si>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</si>
  <si>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</si>
  <si>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</si>
  <si>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</si>
  <si>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</si>
  <si>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</si>
  <si>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</si>
  <si>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</si>
  <si>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</si>
  <si>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</si>
  <si>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</si>
  <si>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</si>
  <si>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</si>
  <si>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</si>
  <si>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</si>
  <si>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</si>
  <si>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</si>
  <si>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</si>
  <si>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</si>
  <si>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</si>
  <si>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</si>
  <si>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</si>
  <si>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</si>
  <si>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</si>
  <si>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</si>
  <si>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</si>
  <si>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</si>
  <si>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</si>
  <si>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</si>
  <si>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</si>
  <si>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</si>
  <si>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</si>
  <si>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</si>
  <si>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</si>
  <si>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</si>
  <si>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</si>
  <si>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</si>
  <si>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</si>
  <si>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</si>
  <si>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</si>
  <si>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</si>
  <si>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</si>
  <si>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</si>
  <si>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</si>
  <si>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</si>
  <si>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</si>
  <si>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</si>
  <si>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</si>
  <si>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</si>
  <si>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</si>
  <si>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</si>
  <si>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</si>
  <si>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</si>
  <si>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</si>
  <si>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</si>
  <si>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</si>
  <si>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</si>
  <si>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</si>
  <si>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</si>
  <si>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</si>
  <si>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</si>
  <si>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</si>
  <si>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</si>
  <si>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</si>
  <si>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</si>
  <si>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</si>
  <si>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</si>
  <si>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</si>
  <si>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</si>
  <si>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</si>
  <si>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</si>
  <si>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</si>
  <si>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</si>
  <si>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</si>
  <si>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</si>
  <si>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</si>
  <si>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</si>
  <si>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</si>
  <si>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</si>
  <si>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</si>
  <si>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</si>
  <si>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</si>
  <si>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</si>
  <si>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</si>
  <si>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Stand: 09.02.2023</t>
  </si>
  <si>
    <t>Die Gemeinde Aschheim setzt sich folgende Ziele:</t>
  </si>
  <si>
    <t>Aschheim</t>
  </si>
  <si>
    <t>Dornach</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</si>
</sst>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10980.82</c:v>
                </c:pt>
                <c:pt idx="1">
                  <c:v>9588.6406167048881</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63131.240000000005</c:v>
                </c:pt>
                <c:pt idx="1">
                  <c:v>82673.014623128183</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2162.92</c:v>
                </c:pt>
                <c:pt idx="1">
                  <c:v>1502.4668592695659</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18635.806451612902</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269765208"/>
        <c:axId val="269763248"/>
      </c:barChart>
      <c:catAx>
        <c:axId val="269765208"/>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69763248"/>
        <c:crosses val="autoZero"/>
        <c:auto val="1"/>
        <c:lblAlgn val="ctr"/>
        <c:lblOffset val="100"/>
        <c:noMultiLvlLbl val="0"/>
      </c:catAx>
      <c:valAx>
        <c:axId val="26976324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69765208"/>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11835</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64545.39</c:v>
                </c:pt>
                <c:pt idx="1">
                  <c:v>112399.92855071553</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269760896"/>
        <c:axId val="269758936"/>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76380.39</c:v>
                </c:pt>
                <c:pt idx="1">
                  <c:v>112399.92855071553</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269764424"/>
        <c:axId val="269765600"/>
      </c:scatterChart>
      <c:valAx>
        <c:axId val="269764424"/>
        <c:scaling>
          <c:orientation val="minMax"/>
        </c:scaling>
        <c:delete val="1"/>
        <c:axPos val="t"/>
        <c:numFmt formatCode="#,##0" sourceLinked="1"/>
        <c:majorTickMark val="out"/>
        <c:minorTickMark val="none"/>
        <c:tickLblPos val="nextTo"/>
        <c:crossAx val="269765600"/>
        <c:crosses val="max"/>
        <c:crossBetween val="midCat"/>
      </c:valAx>
      <c:valAx>
        <c:axId val="269765600"/>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269764424"/>
        <c:crosses val="autoZero"/>
        <c:crossBetween val="midCat"/>
      </c:valAx>
      <c:valAx>
        <c:axId val="269758936"/>
        <c:scaling>
          <c:orientation val="minMax"/>
        </c:scaling>
        <c:delete val="0"/>
        <c:axPos val="b"/>
        <c:numFmt formatCode="#,###" sourceLinked="0"/>
        <c:majorTickMark val="out"/>
        <c:minorTickMark val="none"/>
        <c:tickLblPos val="nextTo"/>
        <c:txPr>
          <a:bodyPr/>
          <a:lstStyle/>
          <a:p>
            <a:pPr algn="ctr">
              <a:defRPr sz="800"/>
            </a:pPr>
            <a:endParaRPr lang="de-DE"/>
          </a:p>
        </c:txPr>
        <c:crossAx val="269760896"/>
        <c:crosses val="autoZero"/>
        <c:crossBetween val="between"/>
      </c:valAx>
      <c:catAx>
        <c:axId val="269760896"/>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69758936"/>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41908.089999999997</c:v>
                </c:pt>
                <c:pt idx="1">
                  <c:v>39449.779999999992</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98484.58</c:v>
                </c:pt>
                <c:pt idx="1">
                  <c:v>156502.59930705762</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2855</c:v>
                </c:pt>
                <c:pt idx="1">
                  <c:v>3201.5515510133987</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269758152"/>
        <c:axId val="269758544"/>
      </c:barChart>
      <c:catAx>
        <c:axId val="269758152"/>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69758544"/>
        <c:crosses val="autoZero"/>
        <c:auto val="1"/>
        <c:lblAlgn val="ctr"/>
        <c:lblOffset val="100"/>
        <c:noMultiLvlLbl val="0"/>
      </c:catAx>
      <c:valAx>
        <c:axId val="2697585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69758152"/>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31242</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112006</c:v>
                </c:pt>
                <c:pt idx="1">
                  <c:v>199153.93085807102</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405566592"/>
        <c:axId val="267264024"/>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143248</c:v>
                </c:pt>
                <c:pt idx="1">
                  <c:v>199153.93085807102</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269759328"/>
        <c:axId val="269759720"/>
      </c:scatterChart>
      <c:valAx>
        <c:axId val="269759328"/>
        <c:scaling>
          <c:orientation val="minMax"/>
        </c:scaling>
        <c:delete val="1"/>
        <c:axPos val="t"/>
        <c:numFmt formatCode="#,##0" sourceLinked="1"/>
        <c:majorTickMark val="out"/>
        <c:minorTickMark val="none"/>
        <c:tickLblPos val="nextTo"/>
        <c:crossAx val="269759720"/>
        <c:crosses val="max"/>
        <c:crossBetween val="midCat"/>
      </c:valAx>
      <c:valAx>
        <c:axId val="269759720"/>
        <c:scaling>
          <c:orientation val="minMax"/>
          <c:max val="2044"/>
          <c:min val="2010"/>
        </c:scaling>
        <c:delete val="1"/>
        <c:axPos val="l"/>
        <c:numFmt formatCode="#,##0" sourceLinked="0"/>
        <c:majorTickMark val="out"/>
        <c:minorTickMark val="none"/>
        <c:tickLblPos val="nextTo"/>
        <c:crossAx val="269759328"/>
        <c:crosses val="autoZero"/>
        <c:crossBetween val="midCat"/>
      </c:valAx>
      <c:valAx>
        <c:axId val="267264024"/>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05566592"/>
        <c:crosses val="autoZero"/>
        <c:crossBetween val="between"/>
      </c:valAx>
      <c:catAx>
        <c:axId val="405566592"/>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267264024"/>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22479.985710143104</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47796.943405937047</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9009.677419354839</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405566984"/>
        <c:axId val="405565808"/>
      </c:barChart>
      <c:catAx>
        <c:axId val="405566984"/>
        <c:scaling>
          <c:orientation val="minMax"/>
        </c:scaling>
        <c:delete val="1"/>
        <c:axPos val="l"/>
        <c:numFmt formatCode="General" sourceLinked="1"/>
        <c:majorTickMark val="none"/>
        <c:minorTickMark val="none"/>
        <c:tickLblPos val="nextTo"/>
        <c:crossAx val="405565808"/>
        <c:crosses val="autoZero"/>
        <c:auto val="1"/>
        <c:lblAlgn val="ctr"/>
        <c:lblOffset val="100"/>
        <c:noMultiLvlLbl val="0"/>
      </c:catAx>
      <c:valAx>
        <c:axId val="405565808"/>
        <c:scaling>
          <c:orientation val="minMax"/>
        </c:scaling>
        <c:delete val="1"/>
        <c:axPos val="b"/>
        <c:numFmt formatCode="#,##0\ &quot;t/a&quot;" sourceLinked="1"/>
        <c:majorTickMark val="none"/>
        <c:minorTickMark val="none"/>
        <c:tickLblPos val="nextTo"/>
        <c:crossAx val="40556698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143</v>
      </c>
      <c r="C3" s="194"/>
    </row>
    <row r="4" spans="2:4" ht="25.5" customHeight="1" x14ac:dyDescent="0.2">
      <c r="B4" s="147" t="s">
        <v>91</v>
      </c>
      <c r="C4" s="148" t="s">
        <v>134</v>
      </c>
      <c r="D4" s="25"/>
    </row>
    <row r="5" spans="2:4" ht="12" customHeight="1" x14ac:dyDescent="0.2">
      <c r="B5" s="147"/>
      <c r="C5" s="148"/>
      <c r="D5" s="25"/>
    </row>
    <row r="6" spans="2:4" ht="28.5" x14ac:dyDescent="0.2">
      <c r="B6" s="153" t="s">
        <v>92</v>
      </c>
      <c r="C6" s="152" t="s">
        <v>137</v>
      </c>
      <c r="D6" s="27"/>
    </row>
    <row r="7" spans="2:4" x14ac:dyDescent="0.2">
      <c r="B7" s="153"/>
      <c r="C7" s="149"/>
      <c r="D7" s="27"/>
    </row>
    <row r="8" spans="2:4" ht="28.5" x14ac:dyDescent="0.2">
      <c r="B8" s="153" t="s">
        <v>93</v>
      </c>
      <c r="C8" s="152" t="s">
        <v>135</v>
      </c>
      <c r="D8" s="27"/>
    </row>
    <row r="9" spans="2:4" x14ac:dyDescent="0.2">
      <c r="B9" s="153"/>
      <c r="C9" s="149"/>
      <c r="D9" s="27"/>
    </row>
    <row r="10" spans="2:4" x14ac:dyDescent="0.2">
      <c r="B10" s="153" t="s">
        <v>168</v>
      </c>
      <c r="C10" s="149" t="s">
        <v>167</v>
      </c>
      <c r="D10" s="27"/>
    </row>
    <row r="11" spans="2:4" x14ac:dyDescent="0.2">
      <c r="B11" s="153"/>
      <c r="C11" s="149"/>
      <c r="D11" s="27"/>
    </row>
    <row r="12" spans="2:4" x14ac:dyDescent="0.2">
      <c r="B12" s="153" t="s">
        <v>96</v>
      </c>
      <c r="C12" s="149" t="s">
        <v>136</v>
      </c>
      <c r="D12" s="26"/>
    </row>
    <row r="13" spans="2:4" x14ac:dyDescent="0.2">
      <c r="B13" s="153"/>
      <c r="C13" s="149"/>
      <c r="D13" s="26"/>
    </row>
    <row r="14" spans="2:4" ht="28.5" x14ac:dyDescent="0.2">
      <c r="B14" s="153" t="s">
        <v>94</v>
      </c>
      <c r="C14" s="152" t="s">
        <v>133</v>
      </c>
      <c r="D14" s="26"/>
    </row>
    <row r="15" spans="2:4" x14ac:dyDescent="0.2">
      <c r="B15" s="153"/>
      <c r="C15" s="149"/>
      <c r="D15" s="26"/>
    </row>
    <row r="16" spans="2:4" x14ac:dyDescent="0.2">
      <c r="B16" s="153" t="s">
        <v>95</v>
      </c>
      <c r="C16" s="149" t="s">
        <v>132</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2" sqref="F32:G3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33</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112.400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47 %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17 %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43</v>
      </c>
      <c r="B18" s="198"/>
      <c r="C18" s="198"/>
      <c r="D18" s="198"/>
      <c r="E18" s="198"/>
      <c r="F18" s="198"/>
      <c r="G18" s="198"/>
      <c r="H18" s="198"/>
      <c r="I18" s="198"/>
      <c r="J18" s="198"/>
      <c r="K18" s="198"/>
      <c r="L18" s="10"/>
    </row>
    <row r="19" spans="1:22" ht="42.75" customHeight="1" x14ac:dyDescent="0.2">
      <c r="B19" s="204" t="s">
        <v>45</v>
      </c>
      <c r="C19" s="204"/>
      <c r="D19" s="204"/>
      <c r="E19" s="204"/>
      <c r="F19" s="204"/>
      <c r="G19" s="204"/>
      <c r="H19" s="204"/>
      <c r="I19" s="204"/>
      <c r="J19" s="204"/>
      <c r="K19" s="204"/>
      <c r="L19" s="12"/>
    </row>
    <row r="20" spans="1:22" ht="60" customHeight="1" x14ac:dyDescent="0.2">
      <c r="B20" s="204" t="s">
        <v>108</v>
      </c>
      <c r="C20" s="204"/>
      <c r="D20" s="204"/>
      <c r="E20" s="204"/>
      <c r="F20" s="204"/>
      <c r="G20" s="204"/>
      <c r="H20" s="204"/>
      <c r="I20" s="204"/>
      <c r="J20" s="204"/>
      <c r="K20" s="204"/>
      <c r="L20" s="12"/>
    </row>
    <row r="21" spans="1:22" ht="31.5" customHeight="1" x14ac:dyDescent="0.2">
      <c r="B21" s="204" t="s">
        <v>44</v>
      </c>
      <c r="C21" s="204"/>
      <c r="D21" s="204"/>
      <c r="E21" s="204"/>
      <c r="F21" s="204"/>
      <c r="G21" s="204"/>
      <c r="H21" s="204"/>
      <c r="I21" s="204"/>
      <c r="J21" s="204"/>
      <c r="K21" s="204"/>
      <c r="L21" s="12"/>
    </row>
    <row r="22" spans="1:22" ht="35.25" customHeight="1" x14ac:dyDescent="0.2">
      <c r="A22" s="198" t="s">
        <v>46</v>
      </c>
      <c r="B22" s="198"/>
      <c r="C22" s="198"/>
      <c r="D22" s="198"/>
      <c r="E22" s="198"/>
      <c r="F22" s="198"/>
      <c r="G22" s="198"/>
      <c r="H22" s="198"/>
      <c r="I22" s="198"/>
      <c r="J22" s="198"/>
      <c r="K22" s="198"/>
    </row>
    <row r="23" spans="1:22" ht="51" customHeight="1" x14ac:dyDescent="0.2">
      <c r="B23" s="204" t="s">
        <v>47</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87</v>
      </c>
      <c r="F26" s="215" t="s">
        <v>89</v>
      </c>
      <c r="G26" s="215"/>
      <c r="H26" s="219" t="s">
        <v>90</v>
      </c>
      <c r="I26" s="219"/>
      <c r="J26" s="219" t="s">
        <v>88</v>
      </c>
      <c r="K26" s="219"/>
    </row>
    <row r="27" spans="1:22" ht="27.95" customHeight="1" x14ac:dyDescent="0.2">
      <c r="A27" s="14"/>
      <c r="B27" s="205" t="s">
        <v>0</v>
      </c>
      <c r="C27" s="205"/>
      <c r="D27" s="179"/>
      <c r="E27" s="157" t="s">
        <v>11</v>
      </c>
      <c r="F27" s="211">
        <f>Potenzial!D11*Ausbauziel_Strom!D27</f>
        <v>0</v>
      </c>
      <c r="G27" s="211"/>
      <c r="H27" s="206">
        <f>Potenzial!D9</f>
        <v>288000</v>
      </c>
      <c r="I27" s="206"/>
      <c r="J27" s="207">
        <f>IF(H27&gt;0,F27/H27,0)</f>
        <v>0</v>
      </c>
      <c r="K27" s="207"/>
    </row>
    <row r="28" spans="1:22" ht="27.95" customHeight="1" x14ac:dyDescent="0.2">
      <c r="A28" s="14"/>
      <c r="B28" s="205" t="s">
        <v>126</v>
      </c>
      <c r="C28" s="205"/>
      <c r="D28" s="179"/>
      <c r="E28" s="158" t="s">
        <v>125</v>
      </c>
      <c r="F28" s="211">
        <f>D28*Potenzial!D18</f>
        <v>0</v>
      </c>
      <c r="G28" s="211"/>
      <c r="H28" s="206">
        <f>Potenzial!D14</f>
        <v>40644.7254675</v>
      </c>
      <c r="I28" s="206"/>
      <c r="J28" s="207">
        <f t="shared" ref="J28:J29" si="0">IF(H28&gt;0,F28/H28,0)</f>
        <v>0</v>
      </c>
      <c r="K28" s="207"/>
    </row>
    <row r="29" spans="1:22" ht="27.95" customHeight="1" x14ac:dyDescent="0.2">
      <c r="A29" s="14"/>
      <c r="B29" s="208" t="s">
        <v>127</v>
      </c>
      <c r="C29" s="208"/>
      <c r="D29" s="179"/>
      <c r="E29" s="157" t="s">
        <v>10</v>
      </c>
      <c r="F29" s="211">
        <f>D29*Potenzial!D25</f>
        <v>0</v>
      </c>
      <c r="G29" s="211"/>
      <c r="H29" s="206">
        <f>Potenzial!D21</f>
        <v>210960</v>
      </c>
      <c r="I29" s="206"/>
      <c r="J29" s="207">
        <f t="shared" si="0"/>
        <v>0</v>
      </c>
      <c r="K29" s="207"/>
    </row>
    <row r="30" spans="1:22" ht="27.95" customHeight="1" x14ac:dyDescent="0.2">
      <c r="A30" s="14"/>
      <c r="B30" s="208" t="s">
        <v>128</v>
      </c>
      <c r="C30" s="208"/>
      <c r="D30" s="179"/>
      <c r="E30" s="157" t="s">
        <v>10</v>
      </c>
      <c r="F30" s="211">
        <f>D30*Potenzial!D30</f>
        <v>0</v>
      </c>
      <c r="G30" s="211"/>
      <c r="H30" s="206"/>
      <c r="I30" s="206"/>
      <c r="J30" s="207"/>
      <c r="K30" s="207"/>
    </row>
    <row r="31" spans="1:22" ht="27.95" customHeight="1" x14ac:dyDescent="0.2">
      <c r="A31" s="14"/>
      <c r="B31" s="158"/>
      <c r="C31" s="158" t="s">
        <v>129</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539604.72546750004</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176</v>
      </c>
      <c r="C48" s="204"/>
      <c r="D48" s="204"/>
      <c r="E48" s="204"/>
      <c r="F48" s="204"/>
      <c r="G48" s="204"/>
      <c r="H48" s="204"/>
      <c r="I48" s="204"/>
      <c r="J48" s="204"/>
      <c r="K48" s="204"/>
      <c r="L48" s="15"/>
      <c r="M48" s="15"/>
    </row>
    <row r="49" spans="1:13" ht="36.75" customHeight="1" x14ac:dyDescent="0.2">
      <c r="B49" s="204" t="s">
        <v>42</v>
      </c>
      <c r="C49" s="204"/>
      <c r="D49" s="204"/>
      <c r="E49" s="204"/>
      <c r="F49" s="204"/>
      <c r="G49" s="204"/>
      <c r="H49" s="204"/>
      <c r="I49" s="204"/>
      <c r="J49" s="204"/>
      <c r="K49" s="204"/>
      <c r="L49" s="12"/>
      <c r="M49" s="15"/>
    </row>
    <row r="50" spans="1:13" ht="18" x14ac:dyDescent="0.2">
      <c r="A50" s="223" t="s">
        <v>40</v>
      </c>
      <c r="B50" s="223"/>
      <c r="C50" s="223"/>
      <c r="D50" s="223"/>
      <c r="E50" s="223"/>
      <c r="F50" s="223"/>
      <c r="G50" s="223"/>
      <c r="H50" s="223"/>
      <c r="I50" s="223"/>
      <c r="J50" s="223"/>
      <c r="K50" s="223"/>
    </row>
    <row r="51" spans="1:13" ht="27.75" customHeight="1" x14ac:dyDescent="0.2">
      <c r="K51" s="1"/>
    </row>
    <row r="52" spans="1:13" ht="32.25" customHeight="1" x14ac:dyDescent="0.2">
      <c r="A52" s="222" t="s">
        <v>41</v>
      </c>
      <c r="B52" s="222"/>
      <c r="C52" s="222"/>
      <c r="D52" s="222"/>
      <c r="E52" s="222"/>
      <c r="F52" s="222"/>
      <c r="G52" s="222"/>
      <c r="H52" s="222"/>
      <c r="I52" s="222"/>
      <c r="J52" s="222"/>
      <c r="K52" s="222"/>
    </row>
    <row r="53" spans="1:13" ht="77.25" customHeight="1" x14ac:dyDescent="0.2">
      <c r="B53" s="213" t="s">
        <v>191</v>
      </c>
      <c r="C53" s="213"/>
      <c r="D53" s="213"/>
      <c r="E53" s="213"/>
      <c r="F53" s="213"/>
      <c r="G53" s="213"/>
      <c r="H53" s="213"/>
      <c r="I53" s="213"/>
      <c r="J53" s="213"/>
      <c r="K53" s="213"/>
      <c r="L53" s="29"/>
      <c r="M53" s="29"/>
    </row>
    <row r="54" spans="1:13" x14ac:dyDescent="0.2">
      <c r="K54" s="1"/>
    </row>
    <row r="56" spans="1:13" ht="14.25" customHeight="1" x14ac:dyDescent="0.25">
      <c r="A56" s="16" t="s">
        <v>34</v>
      </c>
      <c r="B56" s="17"/>
      <c r="C56" s="17"/>
      <c r="D56" s="17"/>
      <c r="G56" s="17"/>
      <c r="I56" s="16" t="s">
        <v>35</v>
      </c>
      <c r="J56" s="17"/>
      <c r="K56" s="17"/>
    </row>
    <row r="57" spans="1:13" ht="18" customHeight="1" x14ac:dyDescent="0.2">
      <c r="B57" s="213" t="s">
        <v>178</v>
      </c>
      <c r="C57" s="213"/>
      <c r="D57" s="213"/>
      <c r="E57" s="213"/>
      <c r="F57" s="213"/>
      <c r="G57" s="213"/>
      <c r="H57" s="29"/>
      <c r="I57" s="18" t="s">
        <v>36</v>
      </c>
      <c r="J57" s="17"/>
      <c r="K57" s="17"/>
    </row>
    <row r="58" spans="1:13" ht="18" customHeight="1" x14ac:dyDescent="0.2">
      <c r="B58" s="213" t="s">
        <v>179</v>
      </c>
      <c r="C58" s="213"/>
      <c r="D58" s="213"/>
      <c r="E58" s="213"/>
      <c r="F58" s="213"/>
      <c r="G58" s="213"/>
      <c r="H58" s="29"/>
      <c r="I58" s="18" t="s">
        <v>37</v>
      </c>
      <c r="J58" s="17"/>
      <c r="K58" s="17"/>
    </row>
    <row r="59" spans="1:13" ht="18" customHeight="1" x14ac:dyDescent="0.2">
      <c r="B59" s="213" t="s">
        <v>180</v>
      </c>
      <c r="C59" s="213"/>
      <c r="D59" s="213"/>
      <c r="E59" s="213"/>
      <c r="F59" s="213"/>
      <c r="G59" s="213"/>
      <c r="H59" s="29"/>
      <c r="I59" s="18" t="s">
        <v>38</v>
      </c>
      <c r="J59" s="17"/>
      <c r="K59" s="17"/>
    </row>
    <row r="60" spans="1:13" ht="18" customHeight="1" x14ac:dyDescent="0.2">
      <c r="B60" s="213" t="s">
        <v>181</v>
      </c>
      <c r="C60" s="213"/>
      <c r="D60" s="213"/>
      <c r="E60" s="213"/>
      <c r="F60" s="213"/>
      <c r="G60" s="213"/>
      <c r="H60" s="30"/>
      <c r="I60" s="31" t="s">
        <v>39</v>
      </c>
      <c r="J60" s="19"/>
      <c r="K60" s="19"/>
    </row>
    <row r="61" spans="1:13" ht="18" customHeight="1" x14ac:dyDescent="0.2">
      <c r="B61" s="213" t="s">
        <v>182</v>
      </c>
      <c r="C61" s="213"/>
      <c r="D61" s="213"/>
      <c r="E61" s="213"/>
      <c r="F61" s="213"/>
      <c r="G61" s="213"/>
      <c r="H61" s="30"/>
      <c r="J61" s="19"/>
      <c r="K61" s="19"/>
    </row>
    <row r="62" spans="1:13" ht="18" customHeight="1" x14ac:dyDescent="0.2">
      <c r="B62" s="213" t="s">
        <v>183</v>
      </c>
      <c r="C62" s="213"/>
      <c r="D62" s="213"/>
      <c r="E62" s="213"/>
      <c r="F62" s="213"/>
      <c r="G62" s="213"/>
      <c r="H62" s="30"/>
      <c r="I62" s="20"/>
      <c r="J62" s="19"/>
      <c r="K62" s="19"/>
    </row>
    <row r="63" spans="1:13" ht="18" customHeight="1" x14ac:dyDescent="0.2">
      <c r="B63" s="213" t="s">
        <v>184</v>
      </c>
      <c r="C63" s="213"/>
      <c r="D63" s="213"/>
      <c r="E63" s="213"/>
      <c r="F63" s="213"/>
      <c r="G63" s="213"/>
      <c r="H63" s="30"/>
      <c r="I63" s="17"/>
      <c r="J63" s="19"/>
      <c r="K63" s="19"/>
    </row>
    <row r="64" spans="1:13" ht="18" customHeight="1" x14ac:dyDescent="0.2">
      <c r="B64" s="213" t="s">
        <v>185</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142</v>
      </c>
      <c r="D74" s="176"/>
      <c r="E74" s="176"/>
      <c r="F74" s="175"/>
      <c r="G74" s="174" t="s">
        <v>95</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10980.82</v>
      </c>
      <c r="E76" s="184">
        <f>LOOKUP('Basis-Annahmen'!E5,'Nachfrage &amp; Erzeugung'!D9:G9,'Nachfrage &amp; Erzeugung'!D11:G11)</f>
        <v>9588.6406167048881</v>
      </c>
      <c r="F76" s="175"/>
      <c r="G76" s="175"/>
      <c r="H76" s="175"/>
      <c r="I76" s="175"/>
      <c r="J76" s="154"/>
      <c r="K76" s="172"/>
      <c r="L76" s="172"/>
    </row>
    <row r="77" spans="1:12" x14ac:dyDescent="0.2">
      <c r="A77" s="154"/>
      <c r="B77" s="154"/>
      <c r="C77" s="176" t="str">
        <f>'Nachfrage &amp; Erzeugung'!B12</f>
        <v>GHD / Industrie</v>
      </c>
      <c r="D77" s="184">
        <f>'Nachfrage &amp; Erzeugung'!C12</f>
        <v>63131.240000000005</v>
      </c>
      <c r="E77" s="184">
        <f>LOOKUP('Basis-Annahmen'!E5,'Nachfrage &amp; Erzeugung'!D9:G9,'Nachfrage &amp; Erzeugung'!D12:G12)</f>
        <v>82673.014623128183</v>
      </c>
      <c r="F77" s="175"/>
      <c r="G77" s="176" t="s">
        <v>104</v>
      </c>
      <c r="H77" s="184">
        <f>'Nachfrage &amp; Erzeugung'!C21</f>
        <v>11835</v>
      </c>
      <c r="I77" s="184">
        <f>F31</f>
        <v>0</v>
      </c>
      <c r="J77" s="154"/>
      <c r="K77" s="172"/>
      <c r="L77" s="172"/>
    </row>
    <row r="78" spans="1:12" x14ac:dyDescent="0.2">
      <c r="A78" s="154"/>
      <c r="B78" s="154"/>
      <c r="C78" s="176" t="str">
        <f>'Nachfrage &amp; Erzeugung'!B13</f>
        <v>Kommunale Einrichtungen</v>
      </c>
      <c r="D78" s="184">
        <f>'Nachfrage &amp; Erzeugung'!C13</f>
        <v>2162.92</v>
      </c>
      <c r="E78" s="184">
        <f>LOOKUP('Basis-Annahmen'!E5,'Nachfrage &amp; Erzeugung'!D9:G9,'Nachfrage &amp; Erzeugung'!D13:G13)</f>
        <v>1502.4668592695659</v>
      </c>
      <c r="F78" s="175"/>
      <c r="G78" s="176" t="str">
        <f>'Nachfrage &amp; Erzeugung'!B29</f>
        <v>Nicht aus lokalen EE gedeckter Strombedarf</v>
      </c>
      <c r="H78" s="184">
        <f>'Nachfrage &amp; Erzeugung'!C29</f>
        <v>64545.39</v>
      </c>
      <c r="I78" s="184">
        <f>MAX(0,E82-SUM(I79:I82)-I77)</f>
        <v>112399.92855071553</v>
      </c>
      <c r="J78" s="154"/>
      <c r="K78" s="172"/>
      <c r="L78" s="172"/>
    </row>
    <row r="79" spans="1:12" x14ac:dyDescent="0.2">
      <c r="A79" s="154"/>
      <c r="B79" s="154"/>
      <c r="C79" s="176" t="str">
        <f>'Nachfrage &amp; Erzeugung'!B14</f>
        <v>Mobilität</v>
      </c>
      <c r="D79" s="184"/>
      <c r="E79" s="184">
        <f>LOOKUP('Basis-Annahmen'!E5,'Nachfrage &amp; Erzeugung'!D9:G9,'Nachfrage &amp; Erzeugung'!D14:G14)</f>
        <v>18635.806451612902</v>
      </c>
      <c r="F79" s="175"/>
      <c r="G79" s="176" t="s">
        <v>27</v>
      </c>
      <c r="H79" s="184">
        <v>0</v>
      </c>
      <c r="I79" s="184">
        <f>F27</f>
        <v>0</v>
      </c>
      <c r="J79" s="154"/>
      <c r="K79" s="172"/>
      <c r="L79" s="172"/>
    </row>
    <row r="80" spans="1:12" x14ac:dyDescent="0.2">
      <c r="A80" s="154"/>
      <c r="B80" s="154"/>
      <c r="C80" s="176" t="s">
        <v>109</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76380.39</v>
      </c>
      <c r="E82" s="184">
        <f>LOOKUP('Basis-Annahmen'!E5,'Nachfrage &amp; Erzeugung'!D9:G9,'Nachfrage &amp; Erzeugung'!D10:G10)</f>
        <v>112399.92855071553</v>
      </c>
      <c r="F82" s="175"/>
      <c r="G82" s="176" t="s">
        <v>24</v>
      </c>
      <c r="H82" s="184">
        <v>0</v>
      </c>
      <c r="I82" s="184">
        <f>F30</f>
        <v>0</v>
      </c>
      <c r="J82" s="154"/>
      <c r="K82" s="172"/>
      <c r="L82" s="172"/>
    </row>
    <row r="83" spans="1:12" x14ac:dyDescent="0.2">
      <c r="A83" s="154"/>
      <c r="B83" s="154"/>
      <c r="C83" s="176" t="s">
        <v>101</v>
      </c>
      <c r="D83" s="175"/>
      <c r="E83" s="186">
        <f>(E82-D82)/D82</f>
        <v>0.47158097190542664</v>
      </c>
      <c r="F83" s="175"/>
      <c r="G83" s="176"/>
      <c r="H83" s="184"/>
      <c r="I83" s="184"/>
      <c r="J83" s="154"/>
      <c r="K83" s="172"/>
      <c r="L83" s="172"/>
    </row>
    <row r="84" spans="1:12" x14ac:dyDescent="0.2">
      <c r="A84" s="154"/>
      <c r="B84" s="154"/>
      <c r="C84" s="176" t="s">
        <v>102</v>
      </c>
      <c r="D84" s="175"/>
      <c r="E84" s="186">
        <f>E79/E82</f>
        <v>0.16579909517650906</v>
      </c>
      <c r="F84" s="175"/>
      <c r="G84" s="175"/>
      <c r="H84" s="176">
        <v>2018.5</v>
      </c>
      <c r="I84" s="176">
        <v>2035.5</v>
      </c>
      <c r="J84" s="154"/>
      <c r="K84" s="172"/>
      <c r="L84" s="172"/>
    </row>
    <row r="85" spans="1:12" x14ac:dyDescent="0.2">
      <c r="A85" s="154"/>
      <c r="B85" s="154"/>
      <c r="C85" s="176" t="s">
        <v>103</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33</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48</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199.154 MWh/a</v>
      </c>
      <c r="J13" s="201"/>
      <c r="K13" s="201"/>
      <c r="L13" s="10"/>
    </row>
    <row r="14" spans="1:12" ht="18" customHeight="1" x14ac:dyDescent="0.2">
      <c r="A14" s="10"/>
      <c r="B14" s="10"/>
      <c r="D14" s="200" t="s">
        <v>186</v>
      </c>
      <c r="E14" s="200"/>
      <c r="F14" s="200"/>
      <c r="G14" s="200"/>
      <c r="H14" s="200"/>
      <c r="I14" s="201" t="str">
        <f>""&amp;FIXED(D82,0,FALSE)&amp;" MWh/a"</f>
        <v>143.248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39 %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43</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44</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188</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46</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85</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80</v>
      </c>
      <c r="G29" s="240"/>
      <c r="H29" s="225" t="s">
        <v>81</v>
      </c>
      <c r="I29" s="225"/>
      <c r="J29" s="240" t="s">
        <v>86</v>
      </c>
      <c r="K29" s="240"/>
    </row>
    <row r="30" spans="1:12" ht="21.6" customHeight="1" x14ac:dyDescent="0.2">
      <c r="A30" s="14"/>
      <c r="B30" s="209" t="s">
        <v>78</v>
      </c>
      <c r="C30" s="209"/>
      <c r="D30" s="209"/>
      <c r="E30" s="209"/>
      <c r="F30" s="230">
        <v>0</v>
      </c>
      <c r="G30" s="230"/>
      <c r="H30" s="232" t="s">
        <v>148</v>
      </c>
      <c r="I30" s="232"/>
      <c r="J30" s="231">
        <f>F30*E82</f>
        <v>0</v>
      </c>
      <c r="K30" s="231"/>
    </row>
    <row r="31" spans="1:12" ht="21.6" customHeight="1" x14ac:dyDescent="0.2">
      <c r="A31" s="14"/>
      <c r="B31" s="227" t="s">
        <v>157</v>
      </c>
      <c r="C31" s="228"/>
      <c r="D31" s="228"/>
      <c r="E31" s="228"/>
      <c r="F31" s="228"/>
      <c r="G31" s="229"/>
      <c r="H31" s="233">
        <v>0</v>
      </c>
      <c r="I31" s="233"/>
      <c r="J31" s="234">
        <f>J30*H31</f>
        <v>0</v>
      </c>
      <c r="K31" s="234"/>
    </row>
    <row r="32" spans="1:12" ht="21.6" customHeight="1" x14ac:dyDescent="0.2">
      <c r="A32" s="14"/>
      <c r="B32" s="209" t="s">
        <v>79</v>
      </c>
      <c r="C32" s="209"/>
      <c r="D32" s="209"/>
      <c r="E32" s="209"/>
      <c r="F32" s="235">
        <f>100%-F30</f>
        <v>1</v>
      </c>
      <c r="G32" s="235"/>
      <c r="H32" s="236"/>
      <c r="I32" s="236"/>
      <c r="J32" s="231">
        <f>F32*E82</f>
        <v>199153.93085807102</v>
      </c>
      <c r="K32" s="231"/>
    </row>
    <row r="33" spans="1:12" ht="21.6" customHeight="1" x14ac:dyDescent="0.2">
      <c r="A33" s="14"/>
      <c r="B33" s="227" t="s">
        <v>155</v>
      </c>
      <c r="C33" s="228"/>
      <c r="D33" s="228"/>
      <c r="E33" s="228"/>
      <c r="F33" s="228"/>
      <c r="G33" s="229"/>
      <c r="H33" s="233">
        <v>0</v>
      </c>
      <c r="I33" s="233"/>
      <c r="J33" s="234">
        <f>$J$32*H33</f>
        <v>0</v>
      </c>
      <c r="K33" s="234"/>
    </row>
    <row r="34" spans="1:12" ht="21.6" customHeight="1" x14ac:dyDescent="0.2">
      <c r="A34" s="14"/>
      <c r="B34" s="250" t="s">
        <v>156</v>
      </c>
      <c r="C34" s="251"/>
      <c r="D34" s="251"/>
      <c r="E34" s="251"/>
      <c r="F34" s="251"/>
      <c r="G34" s="252"/>
      <c r="H34" s="233">
        <v>0</v>
      </c>
      <c r="I34" s="233"/>
      <c r="J34" s="234">
        <f>$J$32*H34</f>
        <v>0</v>
      </c>
      <c r="K34" s="234"/>
    </row>
    <row r="35" spans="1:12" ht="21.6" customHeight="1" x14ac:dyDescent="0.2">
      <c r="A35" s="14"/>
      <c r="B35" s="250" t="s">
        <v>158</v>
      </c>
      <c r="C35" s="251"/>
      <c r="D35" s="251"/>
      <c r="E35" s="251"/>
      <c r="F35" s="251"/>
      <c r="G35" s="252"/>
      <c r="H35" s="233">
        <v>0</v>
      </c>
      <c r="I35" s="233"/>
      <c r="J35" s="234">
        <f t="shared" ref="J35" si="0">$J$32*H35</f>
        <v>0</v>
      </c>
      <c r="K35" s="234"/>
    </row>
    <row r="36" spans="1:12" ht="21" customHeight="1" x14ac:dyDescent="0.2">
      <c r="A36" s="14"/>
      <c r="B36" s="250" t="s">
        <v>159</v>
      </c>
      <c r="C36" s="251"/>
      <c r="D36" s="251"/>
      <c r="E36" s="251"/>
      <c r="F36" s="251"/>
      <c r="G36" s="252"/>
      <c r="H36" s="233">
        <v>0</v>
      </c>
      <c r="I36" s="233"/>
      <c r="J36" s="234">
        <f t="shared" ref="J36" si="1">$J$32*H36</f>
        <v>0</v>
      </c>
      <c r="K36" s="234"/>
    </row>
    <row r="37" spans="1:12" ht="21.6" customHeight="1" x14ac:dyDescent="0.2">
      <c r="A37" s="14"/>
      <c r="B37" s="250" t="s">
        <v>175</v>
      </c>
      <c r="C37" s="251"/>
      <c r="D37" s="251"/>
      <c r="E37" s="251"/>
      <c r="F37" s="251"/>
      <c r="G37" s="252"/>
      <c r="H37" s="255">
        <f>100%-(H33+H34+H35+H36)</f>
        <v>1</v>
      </c>
      <c r="I37" s="256"/>
      <c r="J37" s="257">
        <f>$J$32*H37</f>
        <v>199153.93085807102</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83</v>
      </c>
      <c r="C39" s="254"/>
      <c r="D39" s="254"/>
      <c r="E39" s="254"/>
      <c r="F39" s="254"/>
      <c r="G39" s="253" t="s">
        <v>82</v>
      </c>
      <c r="H39" s="253"/>
      <c r="I39" s="253" t="s">
        <v>76</v>
      </c>
      <c r="J39" s="253"/>
      <c r="K39" s="253"/>
    </row>
    <row r="40" spans="1:12" s="14" customFormat="1" ht="21" customHeight="1" x14ac:dyDescent="0.2">
      <c r="B40" s="249" t="s">
        <v>57</v>
      </c>
      <c r="C40" s="249"/>
      <c r="D40" s="249"/>
      <c r="E40" s="249"/>
      <c r="F40" s="249"/>
      <c r="G40" s="248">
        <f>F30*H31+F32*SUM(H33:I36)</f>
        <v>0</v>
      </c>
      <c r="H40" s="248"/>
      <c r="I40" s="234">
        <f>G40*E82</f>
        <v>0</v>
      </c>
      <c r="J40" s="234"/>
      <c r="K40" s="234"/>
    </row>
    <row r="41" spans="1:12" s="14" customFormat="1" ht="21" customHeight="1" x14ac:dyDescent="0.2">
      <c r="B41" s="249" t="s">
        <v>77</v>
      </c>
      <c r="C41" s="249"/>
      <c r="D41" s="249"/>
      <c r="E41" s="249"/>
      <c r="F41" s="249"/>
      <c r="G41" s="248">
        <f>1-G40</f>
        <v>1</v>
      </c>
      <c r="H41" s="248"/>
      <c r="I41" s="234">
        <f>G41*E82</f>
        <v>199153.93085807102</v>
      </c>
      <c r="J41" s="234"/>
      <c r="K41" s="234"/>
    </row>
    <row r="42" spans="1:12" x14ac:dyDescent="0.2">
      <c r="L42" s="15"/>
    </row>
    <row r="43" spans="1:12" ht="45.75" customHeight="1" x14ac:dyDescent="0.2">
      <c r="L43" s="15"/>
    </row>
    <row r="52" spans="1:12" ht="46.5" customHeight="1" x14ac:dyDescent="0.2">
      <c r="B52" s="204" t="s">
        <v>177</v>
      </c>
      <c r="C52" s="204"/>
      <c r="D52" s="204"/>
      <c r="E52" s="204"/>
      <c r="F52" s="204"/>
      <c r="G52" s="204"/>
      <c r="H52" s="204"/>
      <c r="I52" s="204"/>
      <c r="J52" s="204"/>
      <c r="K52" s="204"/>
    </row>
    <row r="53" spans="1:12" ht="42" customHeight="1" x14ac:dyDescent="0.2">
      <c r="B53" s="204" t="s">
        <v>42</v>
      </c>
      <c r="C53" s="204"/>
      <c r="D53" s="204"/>
      <c r="E53" s="204"/>
      <c r="F53" s="204"/>
      <c r="G53" s="204"/>
      <c r="H53" s="204"/>
      <c r="I53" s="204"/>
      <c r="J53" s="204"/>
      <c r="K53" s="204"/>
    </row>
    <row r="54" spans="1:12" ht="18" x14ac:dyDescent="0.2">
      <c r="A54" s="223" t="s">
        <v>40</v>
      </c>
      <c r="B54" s="223"/>
      <c r="C54" s="223"/>
      <c r="D54" s="223"/>
      <c r="E54" s="223"/>
      <c r="F54" s="223"/>
      <c r="G54" s="223"/>
      <c r="H54" s="223"/>
      <c r="I54" s="223"/>
      <c r="J54" s="223"/>
      <c r="K54" s="223"/>
    </row>
    <row r="55" spans="1:12" x14ac:dyDescent="0.2">
      <c r="K55" s="1"/>
    </row>
    <row r="56" spans="1:12" ht="49.5" customHeight="1" x14ac:dyDescent="0.2">
      <c r="A56" s="222" t="s">
        <v>41</v>
      </c>
      <c r="B56" s="222"/>
      <c r="C56" s="222"/>
      <c r="D56" s="222"/>
      <c r="E56" s="222"/>
      <c r="F56" s="222"/>
      <c r="G56" s="222"/>
      <c r="H56" s="222"/>
      <c r="I56" s="222"/>
      <c r="J56" s="222"/>
      <c r="K56" s="222"/>
    </row>
    <row r="57" spans="1:12" ht="80.25" customHeight="1" x14ac:dyDescent="0.2">
      <c r="B57" s="213" t="s">
        <v>190</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34</v>
      </c>
      <c r="B59" s="17"/>
      <c r="C59" s="17"/>
      <c r="D59" s="17"/>
      <c r="G59" s="17"/>
      <c r="I59" s="16" t="s">
        <v>35</v>
      </c>
      <c r="J59" s="17"/>
      <c r="K59" s="17"/>
    </row>
    <row r="60" spans="1:12" ht="17.100000000000001" customHeight="1" x14ac:dyDescent="0.2">
      <c r="B60" s="213" t="s">
        <v>178</v>
      </c>
      <c r="C60" s="213"/>
      <c r="D60" s="213"/>
      <c r="E60" s="213"/>
      <c r="F60" s="213"/>
      <c r="G60" s="213"/>
      <c r="H60" s="29"/>
      <c r="I60" s="18" t="s">
        <v>36</v>
      </c>
      <c r="J60" s="17"/>
      <c r="K60" s="17"/>
    </row>
    <row r="61" spans="1:12" ht="17.100000000000001" customHeight="1" x14ac:dyDescent="0.2">
      <c r="B61" s="213" t="s">
        <v>179</v>
      </c>
      <c r="C61" s="213"/>
      <c r="D61" s="213"/>
      <c r="E61" s="213"/>
      <c r="F61" s="213"/>
      <c r="G61" s="213"/>
      <c r="H61" s="29"/>
      <c r="I61" s="18" t="s">
        <v>37</v>
      </c>
      <c r="J61" s="17"/>
      <c r="K61" s="17"/>
    </row>
    <row r="62" spans="1:12" ht="17.100000000000001" customHeight="1" x14ac:dyDescent="0.2">
      <c r="B62" s="213" t="s">
        <v>180</v>
      </c>
      <c r="C62" s="213"/>
      <c r="D62" s="213"/>
      <c r="E62" s="213"/>
      <c r="F62" s="213"/>
      <c r="G62" s="213"/>
      <c r="H62" s="29"/>
      <c r="I62" s="18" t="s">
        <v>38</v>
      </c>
      <c r="J62" s="17"/>
      <c r="K62" s="17"/>
    </row>
    <row r="63" spans="1:12" ht="17.100000000000001" customHeight="1" x14ac:dyDescent="0.2">
      <c r="B63" s="213" t="s">
        <v>181</v>
      </c>
      <c r="C63" s="213"/>
      <c r="D63" s="213"/>
      <c r="E63" s="213"/>
      <c r="F63" s="213"/>
      <c r="G63" s="213"/>
      <c r="H63" s="30"/>
      <c r="I63" s="31" t="s">
        <v>39</v>
      </c>
      <c r="J63" s="19"/>
      <c r="K63" s="19"/>
    </row>
    <row r="64" spans="1:12" ht="17.100000000000001" customHeight="1" x14ac:dyDescent="0.2">
      <c r="B64" s="213" t="s">
        <v>182</v>
      </c>
      <c r="C64" s="213"/>
      <c r="D64" s="213"/>
      <c r="E64" s="213"/>
      <c r="F64" s="213"/>
      <c r="G64" s="213"/>
      <c r="H64" s="30"/>
      <c r="J64" s="19"/>
      <c r="K64" s="19"/>
    </row>
    <row r="65" spans="1:12" ht="17.100000000000001" customHeight="1" x14ac:dyDescent="0.2">
      <c r="B65" s="213" t="s">
        <v>183</v>
      </c>
      <c r="C65" s="213"/>
      <c r="D65" s="213"/>
      <c r="E65" s="213"/>
      <c r="F65" s="213"/>
      <c r="G65" s="213"/>
      <c r="H65" s="30"/>
      <c r="I65" s="20"/>
      <c r="J65" s="19"/>
      <c r="K65" s="19"/>
    </row>
    <row r="66" spans="1:12" ht="17.100000000000001" customHeight="1" x14ac:dyDescent="0.2">
      <c r="B66" s="213" t="s">
        <v>184</v>
      </c>
      <c r="C66" s="213"/>
      <c r="D66" s="213"/>
      <c r="E66" s="213"/>
      <c r="F66" s="213"/>
      <c r="G66" s="213"/>
      <c r="H66" s="30"/>
      <c r="I66" s="17"/>
      <c r="J66" s="19"/>
      <c r="K66" s="19"/>
    </row>
    <row r="67" spans="1:12" ht="17.100000000000001" customHeight="1" x14ac:dyDescent="0.2">
      <c r="B67" s="213" t="s">
        <v>185</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142</v>
      </c>
      <c r="D76" s="175"/>
      <c r="E76" s="175"/>
      <c r="F76" s="175"/>
      <c r="G76" s="174" t="s">
        <v>95</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41908.089999999997</v>
      </c>
      <c r="E78" s="190">
        <f>LOOKUP('Basis-Annahmen'!E5,'Nachfrage &amp; Erzeugung'!D36:G36,'Nachfrage &amp; Erzeugung'!D38:G38)</f>
        <v>39449.779999999992</v>
      </c>
      <c r="F78" s="175"/>
      <c r="G78" s="175"/>
      <c r="H78" s="175"/>
      <c r="I78" s="175"/>
      <c r="J78" s="154"/>
      <c r="K78" s="154"/>
      <c r="L78" s="154"/>
    </row>
    <row r="79" spans="1:12" x14ac:dyDescent="0.2">
      <c r="A79" s="172"/>
      <c r="B79" s="172"/>
      <c r="C79" s="176" t="str">
        <f>'Nachfrage &amp; Erzeugung'!B39</f>
        <v>GHD / Industrie</v>
      </c>
      <c r="D79" s="190">
        <f>'Nachfrage &amp; Erzeugung'!C39</f>
        <v>98484.58</v>
      </c>
      <c r="E79" s="190">
        <f>LOOKUP('Basis-Annahmen'!E5,'Nachfrage &amp; Erzeugung'!D36:G36,'Nachfrage &amp; Erzeugung'!D39:G39)</f>
        <v>156502.59930705762</v>
      </c>
      <c r="F79" s="175"/>
      <c r="G79" s="176" t="s">
        <v>57</v>
      </c>
      <c r="H79" s="190">
        <f>'Nachfrage &amp; Erzeugung'!C46</f>
        <v>31242</v>
      </c>
      <c r="I79" s="190">
        <f>I40</f>
        <v>0</v>
      </c>
      <c r="J79" s="154"/>
      <c r="K79" s="154"/>
      <c r="L79" s="154"/>
    </row>
    <row r="80" spans="1:12" x14ac:dyDescent="0.2">
      <c r="A80" s="172"/>
      <c r="B80" s="172"/>
      <c r="C80" s="176" t="str">
        <f>'Nachfrage &amp; Erzeugung'!B40</f>
        <v>Kommunale Einrichtungen</v>
      </c>
      <c r="D80" s="190">
        <f>'Nachfrage &amp; Erzeugung'!C40</f>
        <v>2855</v>
      </c>
      <c r="E80" s="190">
        <f>LOOKUP('Basis-Annahmen'!E5,'Nachfrage &amp; Erzeugung'!D36:G36,'Nachfrage &amp; Erzeugung'!D40:G40)</f>
        <v>3201.5515510133987</v>
      </c>
      <c r="F80" s="175"/>
      <c r="G80" s="176" t="str">
        <f>'Nachfrage &amp; Erzeugung'!B47</f>
        <v>Nicht erneuerbare Wärmeerzeugung</v>
      </c>
      <c r="H80" s="190">
        <f>MAX(0,H82-H79)</f>
        <v>112006</v>
      </c>
      <c r="I80" s="190">
        <f>MAX(0,I82-I79)</f>
        <v>199153.93085807102</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69</v>
      </c>
      <c r="D82" s="190">
        <f>'Nachfrage &amp; Erzeugung'!C37</f>
        <v>143248</v>
      </c>
      <c r="E82" s="190">
        <f>LOOKUP('Basis-Annahmen'!E5,'Nachfrage &amp; Erzeugung'!D36:G36,'Nachfrage &amp; Erzeugung'!D37:G37)</f>
        <v>199153.93085807102</v>
      </c>
      <c r="F82" s="175"/>
      <c r="G82" s="176" t="s">
        <v>84</v>
      </c>
      <c r="H82" s="190">
        <f>'Nachfrage &amp; Erzeugung'!C37</f>
        <v>143248</v>
      </c>
      <c r="I82" s="190">
        <f>LOOKUP('Basis-Annahmen'!E5,'Nachfrage &amp; Erzeugung'!D36:G36,'Nachfrage &amp; Erzeugung'!D37:G37)</f>
        <v>199153.93085807102</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107</v>
      </c>
      <c r="D84" s="175"/>
      <c r="E84" s="191">
        <f>(E82-D82)/D82</f>
        <v>0.39027372708918112</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topLeftCell="A3"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33</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160</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10500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163</v>
      </c>
      <c r="D8" s="200"/>
      <c r="E8" s="200"/>
      <c r="F8" s="200"/>
      <c r="G8" s="200"/>
      <c r="H8" s="263">
        <f>Ausbauziel_Strom!I78</f>
        <v>112399.92855071553</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164</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166</v>
      </c>
      <c r="D12" s="259"/>
      <c r="E12" s="259"/>
      <c r="F12" s="259"/>
      <c r="G12" s="259"/>
      <c r="H12" s="265">
        <f>H10*H8/1000</f>
        <v>22479.985710143104</v>
      </c>
      <c r="I12" s="265"/>
      <c r="J12" s="265"/>
      <c r="K12" s="177"/>
    </row>
    <row r="13" spans="1:14" ht="24.6" customHeight="1" x14ac:dyDescent="0.2">
      <c r="A13" s="14"/>
      <c r="B13" s="177"/>
      <c r="C13" s="259" t="s">
        <v>165</v>
      </c>
      <c r="D13" s="259"/>
      <c r="E13" s="259"/>
      <c r="F13" s="259"/>
      <c r="G13" s="259"/>
      <c r="H13" s="266">
        <f>H12/H5</f>
        <v>2.1409510200136288</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161</v>
      </c>
      <c r="D16" s="200"/>
      <c r="E16" s="200"/>
      <c r="F16" s="200"/>
      <c r="G16" s="200"/>
      <c r="H16" s="263">
        <f>Ausbauziel_Wärme!I41</f>
        <v>199153.93085807102</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162</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166</v>
      </c>
      <c r="D20" s="259"/>
      <c r="E20" s="259"/>
      <c r="F20" s="259"/>
      <c r="G20" s="259"/>
      <c r="H20" s="265">
        <f>H18*H16/1000</f>
        <v>47796.943405937047</v>
      </c>
      <c r="I20" s="265"/>
      <c r="J20" s="265"/>
      <c r="K20" s="177"/>
    </row>
    <row r="21" spans="1:11" ht="24.6" customHeight="1" x14ac:dyDescent="0.2">
      <c r="A21" s="14"/>
      <c r="B21" s="177"/>
      <c r="C21" s="259" t="s">
        <v>165</v>
      </c>
      <c r="D21" s="259"/>
      <c r="E21" s="259"/>
      <c r="F21" s="259"/>
      <c r="G21" s="259"/>
      <c r="H21" s="266">
        <f>H20/H5</f>
        <v>4.5520898481844805</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174</v>
      </c>
      <c r="D24" s="262"/>
      <c r="E24" s="262"/>
      <c r="F24" s="262"/>
      <c r="G24" s="262"/>
      <c r="H24" s="268">
        <v>1.9</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166</v>
      </c>
      <c r="D26" s="259"/>
      <c r="E26" s="259"/>
      <c r="F26" s="259"/>
      <c r="G26" s="259"/>
      <c r="H26" s="265">
        <f>H27*H5</f>
        <v>9009.677419354839</v>
      </c>
      <c r="I26" s="265"/>
      <c r="J26" s="265"/>
      <c r="K26" s="177"/>
    </row>
    <row r="27" spans="1:11" ht="24.6" customHeight="1" x14ac:dyDescent="0.2">
      <c r="A27" s="14"/>
      <c r="B27" s="177"/>
      <c r="C27" s="259" t="s">
        <v>165</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0.85806451612903223</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166</v>
      </c>
      <c r="D31" s="259"/>
      <c r="E31" s="259"/>
      <c r="F31" s="259"/>
      <c r="G31" s="259"/>
      <c r="H31" s="265">
        <f>H26+H20+H12</f>
        <v>79286.606535434985</v>
      </c>
      <c r="I31" s="265"/>
      <c r="J31" s="265"/>
      <c r="K31" s="177"/>
    </row>
    <row r="32" spans="1:11" ht="24.6" customHeight="1" x14ac:dyDescent="0.2">
      <c r="A32" s="14"/>
      <c r="B32" s="177"/>
      <c r="C32" s="259" t="s">
        <v>165</v>
      </c>
      <c r="D32" s="259"/>
      <c r="E32" s="259"/>
      <c r="F32" s="259"/>
      <c r="G32" s="259"/>
      <c r="H32" s="266">
        <f>H27+H21+H13</f>
        <v>7.5511053843271423</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40</v>
      </c>
      <c r="B39" s="223"/>
      <c r="C39" s="223"/>
      <c r="D39" s="223"/>
      <c r="E39" s="223"/>
      <c r="F39" s="223"/>
      <c r="G39" s="223"/>
      <c r="H39" s="223"/>
      <c r="I39" s="223"/>
      <c r="J39" s="223"/>
      <c r="K39" s="223"/>
    </row>
    <row r="40" spans="1:13" ht="27.75" customHeight="1" x14ac:dyDescent="0.2">
      <c r="K40" s="1"/>
    </row>
    <row r="41" spans="1:13" ht="32.25" customHeight="1" x14ac:dyDescent="0.2">
      <c r="A41" s="222" t="s">
        <v>41</v>
      </c>
      <c r="B41" s="222"/>
      <c r="C41" s="222"/>
      <c r="D41" s="222"/>
      <c r="E41" s="222"/>
      <c r="F41" s="222"/>
      <c r="G41" s="222"/>
      <c r="H41" s="222"/>
      <c r="I41" s="222"/>
      <c r="J41" s="222"/>
      <c r="K41" s="222"/>
    </row>
    <row r="42" spans="1:13" ht="77.25" customHeight="1" x14ac:dyDescent="0.2">
      <c r="B42" s="213" t="s">
        <v>190</v>
      </c>
      <c r="C42" s="213"/>
      <c r="D42" s="213"/>
      <c r="E42" s="213"/>
      <c r="F42" s="213"/>
      <c r="G42" s="213"/>
      <c r="H42" s="213"/>
      <c r="I42" s="213"/>
      <c r="J42" s="213"/>
      <c r="K42" s="213"/>
      <c r="L42" s="29"/>
      <c r="M42" s="29"/>
    </row>
    <row r="43" spans="1:13" x14ac:dyDescent="0.2">
      <c r="K43" s="1"/>
    </row>
    <row r="45" spans="1:13" ht="14.25" customHeight="1" x14ac:dyDescent="0.25">
      <c r="A45" s="16" t="s">
        <v>34</v>
      </c>
      <c r="B45" s="17"/>
      <c r="C45" s="17"/>
      <c r="D45" s="17"/>
      <c r="G45" s="17"/>
      <c r="I45" s="16" t="s">
        <v>35</v>
      </c>
      <c r="J45" s="17"/>
      <c r="K45" s="17"/>
    </row>
    <row r="46" spans="1:13" ht="18" customHeight="1" x14ac:dyDescent="0.2">
      <c r="B46" s="213" t="s">
        <v>178</v>
      </c>
      <c r="C46" s="213"/>
      <c r="D46" s="213"/>
      <c r="E46" s="213"/>
      <c r="F46" s="213"/>
      <c r="G46" s="213"/>
      <c r="H46" s="29"/>
      <c r="I46" s="18" t="s">
        <v>36</v>
      </c>
      <c r="J46" s="17"/>
      <c r="K46" s="17"/>
    </row>
    <row r="47" spans="1:13" ht="18" customHeight="1" x14ac:dyDescent="0.2">
      <c r="B47" s="213" t="s">
        <v>179</v>
      </c>
      <c r="C47" s="213"/>
      <c r="D47" s="213"/>
      <c r="E47" s="213"/>
      <c r="F47" s="213"/>
      <c r="G47" s="213"/>
      <c r="H47" s="29"/>
      <c r="I47" s="18" t="s">
        <v>37</v>
      </c>
      <c r="J47" s="17"/>
      <c r="K47" s="17"/>
    </row>
    <row r="48" spans="1:13" ht="18" customHeight="1" x14ac:dyDescent="0.2">
      <c r="B48" s="213" t="s">
        <v>180</v>
      </c>
      <c r="C48" s="213"/>
      <c r="D48" s="213"/>
      <c r="E48" s="213"/>
      <c r="F48" s="213"/>
      <c r="G48" s="213"/>
      <c r="H48" s="29"/>
      <c r="I48" s="18" t="s">
        <v>38</v>
      </c>
      <c r="J48" s="17"/>
      <c r="K48" s="17"/>
    </row>
    <row r="49" spans="1:12" ht="18" customHeight="1" x14ac:dyDescent="0.2">
      <c r="B49" s="213" t="s">
        <v>181</v>
      </c>
      <c r="C49" s="213"/>
      <c r="D49" s="213"/>
      <c r="E49" s="213"/>
      <c r="F49" s="213"/>
      <c r="G49" s="213"/>
      <c r="H49" s="30"/>
      <c r="I49" s="31" t="s">
        <v>39</v>
      </c>
      <c r="J49" s="19"/>
      <c r="K49" s="19"/>
    </row>
    <row r="50" spans="1:12" ht="18" customHeight="1" x14ac:dyDescent="0.2">
      <c r="B50" s="213" t="s">
        <v>182</v>
      </c>
      <c r="C50" s="213"/>
      <c r="D50" s="213"/>
      <c r="E50" s="213"/>
      <c r="F50" s="213"/>
      <c r="G50" s="213"/>
      <c r="H50" s="30"/>
      <c r="J50" s="19"/>
      <c r="K50" s="19"/>
    </row>
    <row r="51" spans="1:12" ht="18" customHeight="1" x14ac:dyDescent="0.2">
      <c r="B51" s="213" t="s">
        <v>183</v>
      </c>
      <c r="C51" s="213"/>
      <c r="D51" s="213"/>
      <c r="E51" s="213"/>
      <c r="F51" s="213"/>
      <c r="G51" s="213"/>
      <c r="H51" s="30"/>
      <c r="I51" s="20"/>
      <c r="J51" s="19"/>
      <c r="K51" s="19"/>
    </row>
    <row r="52" spans="1:12" ht="18" customHeight="1" x14ac:dyDescent="0.2">
      <c r="B52" s="213" t="s">
        <v>184</v>
      </c>
      <c r="C52" s="213"/>
      <c r="D52" s="213"/>
      <c r="E52" s="213"/>
      <c r="F52" s="213"/>
      <c r="G52" s="213"/>
      <c r="H52" s="30"/>
      <c r="I52" s="17"/>
      <c r="J52" s="19"/>
      <c r="K52" s="19"/>
    </row>
    <row r="53" spans="1:12" ht="18" customHeight="1" x14ac:dyDescent="0.2">
      <c r="B53" s="213" t="s">
        <v>185</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75</v>
      </c>
      <c r="D56" s="183">
        <f>H12</f>
        <v>22479.985710143104</v>
      </c>
      <c r="E56" s="154"/>
      <c r="F56" s="154"/>
      <c r="G56" s="154"/>
      <c r="H56" s="154"/>
      <c r="I56" s="154"/>
      <c r="J56" s="154"/>
      <c r="K56" s="154"/>
    </row>
    <row r="57" spans="1:12" x14ac:dyDescent="0.2">
      <c r="C57" s="154" t="s">
        <v>73</v>
      </c>
      <c r="D57" s="183">
        <f>H20</f>
        <v>47796.943405937047</v>
      </c>
      <c r="E57" s="154"/>
      <c r="F57" s="154"/>
      <c r="G57" s="154"/>
      <c r="H57" s="154"/>
      <c r="I57" s="154"/>
      <c r="J57" s="154"/>
      <c r="K57" s="154"/>
    </row>
    <row r="58" spans="1:12" x14ac:dyDescent="0.2">
      <c r="C58" s="154" t="s">
        <v>171</v>
      </c>
      <c r="D58" s="183">
        <f>H26</f>
        <v>9009.677419354839</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110</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100</v>
      </c>
      <c r="C4" s="274"/>
      <c r="D4" s="274"/>
      <c r="E4" s="274"/>
      <c r="F4" s="274"/>
      <c r="G4" s="274"/>
      <c r="H4" s="274"/>
      <c r="I4" s="275"/>
      <c r="J4" s="14"/>
      <c r="N4"/>
      <c r="O4"/>
      <c r="P4"/>
      <c r="Q4"/>
      <c r="R4"/>
      <c r="S4"/>
      <c r="T4"/>
      <c r="U4"/>
      <c r="V4"/>
      <c r="W4"/>
    </row>
    <row r="5" spans="1:26" ht="20.100000000000001" customHeight="1" x14ac:dyDescent="0.25">
      <c r="A5" s="14"/>
      <c r="B5" s="60"/>
      <c r="C5" s="61"/>
      <c r="D5" s="62" t="s">
        <v>99</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49</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50</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172</v>
      </c>
      <c r="C13" s="280"/>
      <c r="D13" s="280"/>
      <c r="E13" s="47"/>
      <c r="F13" s="48">
        <v>0</v>
      </c>
      <c r="G13" s="48">
        <v>0</v>
      </c>
      <c r="H13" s="48">
        <v>0</v>
      </c>
      <c r="I13" s="52">
        <v>0</v>
      </c>
      <c r="J13" s="14"/>
    </row>
    <row r="14" spans="1:26" ht="20.100000000000001" customHeight="1" x14ac:dyDescent="0.2">
      <c r="A14" s="14"/>
      <c r="B14" s="279" t="s">
        <v>5</v>
      </c>
      <c r="C14" s="280"/>
      <c r="D14" s="280"/>
      <c r="E14" s="34">
        <f>E46/E45</f>
        <v>1.0032715376226827E-2</v>
      </c>
      <c r="F14" s="48">
        <v>0.05</v>
      </c>
      <c r="G14" s="48">
        <v>0.3</v>
      </c>
      <c r="H14" s="48">
        <v>0.6</v>
      </c>
      <c r="I14" s="52">
        <v>1</v>
      </c>
      <c r="J14" s="14"/>
    </row>
    <row r="15" spans="1:26" ht="30" customHeight="1" x14ac:dyDescent="0.2">
      <c r="A15" s="14"/>
      <c r="B15" s="281" t="s">
        <v>51</v>
      </c>
      <c r="C15" s="282"/>
      <c r="D15" s="282"/>
      <c r="E15" s="53">
        <f>E47/E45</f>
        <v>3.2933478735005454E-2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70</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71</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72</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106</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52</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53</v>
      </c>
      <c r="C26" s="274"/>
      <c r="D26" s="274"/>
      <c r="E26" s="274"/>
      <c r="F26" s="274"/>
      <c r="G26" s="274"/>
      <c r="H26" s="274"/>
      <c r="I26" s="275"/>
      <c r="J26" s="14"/>
    </row>
    <row r="27" spans="1:16" ht="20.100000000000001" customHeight="1" x14ac:dyDescent="0.2">
      <c r="A27" s="14"/>
      <c r="B27" s="45"/>
      <c r="C27" s="35"/>
      <c r="D27" s="14"/>
      <c r="E27" s="32" t="s">
        <v>173</v>
      </c>
      <c r="F27" s="32">
        <v>2025</v>
      </c>
      <c r="G27" s="32">
        <v>2030</v>
      </c>
      <c r="H27" s="32">
        <v>2035</v>
      </c>
      <c r="I27" s="46">
        <v>2040</v>
      </c>
      <c r="J27" s="14"/>
    </row>
    <row r="28" spans="1:16" ht="20.100000000000001" customHeight="1" x14ac:dyDescent="0.2">
      <c r="A28" s="14"/>
      <c r="B28" s="271" t="s">
        <v>54</v>
      </c>
      <c r="C28" s="272"/>
      <c r="D28" s="272"/>
      <c r="E28" s="40"/>
      <c r="F28" s="41">
        <v>60</v>
      </c>
      <c r="G28" s="41">
        <v>40</v>
      </c>
      <c r="H28" s="41">
        <v>25</v>
      </c>
      <c r="I28" s="43">
        <v>25</v>
      </c>
      <c r="J28" s="14"/>
    </row>
    <row r="29" spans="1:16" ht="20.100000000000001" customHeight="1" x14ac:dyDescent="0.2">
      <c r="A29" s="14"/>
      <c r="B29" s="271" t="s">
        <v>55</v>
      </c>
      <c r="C29" s="272"/>
      <c r="D29" s="272"/>
      <c r="E29" s="42"/>
      <c r="F29" s="41">
        <v>80</v>
      </c>
      <c r="G29" s="41">
        <v>80</v>
      </c>
      <c r="H29" s="41">
        <v>80</v>
      </c>
      <c r="I29" s="43">
        <v>80</v>
      </c>
      <c r="J29" s="14"/>
    </row>
    <row r="30" spans="1:16" ht="20.100000000000001" customHeight="1" x14ac:dyDescent="0.2">
      <c r="A30" s="14"/>
      <c r="B30" s="269" t="s">
        <v>56</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60</v>
      </c>
      <c r="C34" s="272"/>
      <c r="D34" s="272"/>
      <c r="E34" s="69">
        <v>9300</v>
      </c>
      <c r="F34" s="69">
        <v>9800</v>
      </c>
      <c r="G34" s="69">
        <v>10200</v>
      </c>
      <c r="H34" s="69">
        <v>10500</v>
      </c>
      <c r="I34" s="70">
        <v>10800</v>
      </c>
      <c r="J34" s="14"/>
    </row>
    <row r="35" spans="1:10" ht="37.5" customHeight="1" x14ac:dyDescent="0.2">
      <c r="A35" s="14"/>
      <c r="B35" s="276"/>
      <c r="C35" s="277"/>
      <c r="D35" s="277"/>
      <c r="E35" s="32"/>
      <c r="F35" s="32" t="s">
        <v>62</v>
      </c>
      <c r="G35" s="32" t="s">
        <v>63</v>
      </c>
      <c r="H35" s="32" t="s">
        <v>64</v>
      </c>
      <c r="I35" s="71" t="s">
        <v>97</v>
      </c>
      <c r="J35" s="14"/>
    </row>
    <row r="36" spans="1:10" ht="19.5" customHeight="1" x14ac:dyDescent="0.2">
      <c r="A36" s="14"/>
      <c r="B36" s="269" t="s">
        <v>61</v>
      </c>
      <c r="C36" s="270"/>
      <c r="D36" s="270"/>
      <c r="E36" s="66"/>
      <c r="F36" s="67">
        <f>(F34-E34)/E34</f>
        <v>5.3763440860215055E-2</v>
      </c>
      <c r="G36" s="67">
        <f>(G34-F34)/F34</f>
        <v>4.0816326530612242E-2</v>
      </c>
      <c r="H36" s="67">
        <f>(H34-G34)/G34</f>
        <v>2.9411764705882353E-2</v>
      </c>
      <c r="I36" s="68">
        <f>(I34-H34)/H34</f>
        <v>2.8571428571428571E-2</v>
      </c>
      <c r="J36" s="14"/>
    </row>
    <row r="37" spans="1:10" ht="19.5" customHeight="1" x14ac:dyDescent="0.2">
      <c r="A37" s="14"/>
      <c r="B37" s="47"/>
      <c r="C37" s="47"/>
      <c r="D37" s="47"/>
      <c r="E37" s="37"/>
      <c r="F37" s="34"/>
      <c r="G37" s="34"/>
      <c r="H37" s="34"/>
      <c r="I37" s="34"/>
      <c r="J37" s="14"/>
    </row>
    <row r="38" spans="1:10" ht="19.5" customHeight="1" x14ac:dyDescent="0.2">
      <c r="A38" s="14"/>
      <c r="B38" s="273" t="s">
        <v>122</v>
      </c>
      <c r="C38" s="274"/>
      <c r="D38" s="274"/>
      <c r="E38" s="274"/>
      <c r="F38" s="274"/>
      <c r="G38" s="274"/>
      <c r="H38" s="274"/>
      <c r="I38" s="275"/>
      <c r="J38" s="14"/>
    </row>
    <row r="39" spans="1:10" ht="19.5" customHeight="1" x14ac:dyDescent="0.2">
      <c r="A39" s="14"/>
      <c r="B39" s="58"/>
      <c r="C39" s="14"/>
      <c r="D39" s="14"/>
      <c r="E39" s="84" t="s">
        <v>173</v>
      </c>
      <c r="F39" s="14"/>
      <c r="G39" s="14"/>
      <c r="H39" s="14"/>
      <c r="I39" s="82"/>
      <c r="J39" s="14"/>
    </row>
    <row r="40" spans="1:10" ht="19.5" customHeight="1" x14ac:dyDescent="0.2">
      <c r="A40" s="14"/>
      <c r="B40" s="269" t="s">
        <v>112</v>
      </c>
      <c r="C40" s="270"/>
      <c r="D40" s="270"/>
      <c r="E40" s="80">
        <v>43</v>
      </c>
      <c r="F40" s="143" t="s">
        <v>189</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65</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111</v>
      </c>
      <c r="C44" s="272"/>
      <c r="D44" s="272"/>
      <c r="E44" s="73">
        <v>0.98602150537634403</v>
      </c>
      <c r="F44" s="73">
        <f>E44*(1+(F13*(F43-E43)))</f>
        <v>0.98602150537634403</v>
      </c>
      <c r="G44" s="73">
        <f t="shared" ref="G44:I44" si="0">F44*(1+(G13*(G43-F43)))</f>
        <v>0.98602150537634403</v>
      </c>
      <c r="H44" s="73">
        <f t="shared" si="0"/>
        <v>0.98602150537634403</v>
      </c>
      <c r="I44" s="188">
        <f t="shared" si="0"/>
        <v>0.98602150537634403</v>
      </c>
      <c r="J44" s="14"/>
    </row>
    <row r="45" spans="1:10" ht="19.5" customHeight="1" x14ac:dyDescent="0.2">
      <c r="A45" s="14"/>
      <c r="B45" s="271" t="s">
        <v>4</v>
      </c>
      <c r="C45" s="272"/>
      <c r="D45" s="272"/>
      <c r="E45" s="69">
        <v>9170</v>
      </c>
      <c r="F45" s="36">
        <f>F44*F34</f>
        <v>9663.0107526881711</v>
      </c>
      <c r="G45" s="36">
        <f t="shared" ref="G45:I45" si="1">G44*G34</f>
        <v>10057.419354838708</v>
      </c>
      <c r="H45" s="36">
        <f t="shared" si="1"/>
        <v>10353.225806451612</v>
      </c>
      <c r="I45" s="74">
        <f t="shared" si="1"/>
        <v>10649.032258064515</v>
      </c>
      <c r="J45" s="14"/>
    </row>
    <row r="46" spans="1:10" ht="19.5" customHeight="1" x14ac:dyDescent="0.2">
      <c r="A46" s="14"/>
      <c r="B46" s="271" t="s">
        <v>2</v>
      </c>
      <c r="C46" s="272"/>
      <c r="D46" s="272"/>
      <c r="E46" s="69">
        <v>92</v>
      </c>
      <c r="F46" s="36">
        <f>F$45*F$14</f>
        <v>483.15053763440858</v>
      </c>
      <c r="G46" s="36">
        <f>G$45*G$14</f>
        <v>3017.2258064516122</v>
      </c>
      <c r="H46" s="36">
        <f>H$45*H$14</f>
        <v>6211.9354838709669</v>
      </c>
      <c r="I46" s="74">
        <f>I$45*I$14</f>
        <v>10649.032258064515</v>
      </c>
      <c r="J46" s="14"/>
    </row>
    <row r="47" spans="1:10" ht="19.5" customHeight="1" x14ac:dyDescent="0.2">
      <c r="A47" s="14"/>
      <c r="B47" s="269" t="s">
        <v>3</v>
      </c>
      <c r="C47" s="270"/>
      <c r="D47" s="270"/>
      <c r="E47" s="75">
        <v>302</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59</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58</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66</v>
      </c>
      <c r="C54" s="274"/>
      <c r="D54" s="274"/>
      <c r="E54" s="274"/>
      <c r="F54" s="274"/>
      <c r="G54" s="274"/>
      <c r="H54" s="274"/>
      <c r="I54" s="275"/>
      <c r="J54" s="14"/>
    </row>
    <row r="55" spans="1:10" ht="19.5" customHeight="1" x14ac:dyDescent="0.2">
      <c r="A55" s="14"/>
      <c r="B55" s="271" t="s">
        <v>147</v>
      </c>
      <c r="C55" s="272"/>
      <c r="D55" s="272"/>
      <c r="E55" s="78">
        <v>30</v>
      </c>
      <c r="F55" s="14"/>
      <c r="G55" s="14"/>
      <c r="H55" s="14"/>
      <c r="I55" s="82"/>
      <c r="J55" s="14"/>
    </row>
    <row r="56" spans="1:10" ht="19.5" customHeight="1" x14ac:dyDescent="0.2">
      <c r="A56" s="14"/>
      <c r="B56" s="271" t="s">
        <v>169</v>
      </c>
      <c r="C56" s="272"/>
      <c r="D56" s="272"/>
      <c r="E56" s="78">
        <v>5</v>
      </c>
      <c r="F56" s="14"/>
      <c r="G56" s="14"/>
      <c r="H56" s="14"/>
      <c r="I56" s="82"/>
      <c r="J56" s="14"/>
    </row>
    <row r="57" spans="1:10" ht="19.5" customHeight="1" x14ac:dyDescent="0.2">
      <c r="A57" s="14"/>
      <c r="B57" s="269" t="s">
        <v>170</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113</v>
      </c>
      <c r="B2" s="278"/>
      <c r="C2" s="278"/>
      <c r="D2" s="278"/>
      <c r="E2" s="278"/>
      <c r="F2" s="278"/>
      <c r="G2" s="278"/>
      <c r="H2" s="278"/>
    </row>
    <row r="5" spans="1:8" s="26" customFormat="1" ht="34.5" customHeight="1" x14ac:dyDescent="0.25">
      <c r="B5" s="283" t="s">
        <v>75</v>
      </c>
      <c r="C5" s="283"/>
      <c r="D5" s="283"/>
      <c r="E5" s="283"/>
      <c r="F5" s="283"/>
      <c r="G5" s="283"/>
    </row>
    <row r="7" spans="1:8" x14ac:dyDescent="0.2">
      <c r="B7" s="14"/>
      <c r="C7" s="14"/>
      <c r="D7" s="14"/>
      <c r="E7" s="14"/>
      <c r="F7" s="14"/>
      <c r="G7" s="14"/>
      <c r="H7" s="14"/>
    </row>
    <row r="8" spans="1:8" ht="20.100000000000001" customHeight="1" x14ac:dyDescent="0.2">
      <c r="B8" s="273" t="s">
        <v>67</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69</v>
      </c>
      <c r="C10" s="93">
        <v>76380.39</v>
      </c>
      <c r="D10" s="94">
        <f>D11+D12+D13+D14+D15</f>
        <v>79832.503191687123</v>
      </c>
      <c r="E10" s="94">
        <f>E11+E12+E13+E14+D15</f>
        <v>94711.82381877258</v>
      </c>
      <c r="F10" s="94">
        <f>F11+F12+F13+F14+D15</f>
        <v>112399.92855071553</v>
      </c>
      <c r="G10" s="95">
        <f>G11+G12+G13+G14+D15</f>
        <v>134855.13561764383</v>
      </c>
      <c r="H10" s="14"/>
    </row>
    <row r="11" spans="1:8" ht="19.5" customHeight="1" x14ac:dyDescent="0.2">
      <c r="B11" s="88" t="s">
        <v>6</v>
      </c>
      <c r="C11" s="96">
        <v>10980.82</v>
      </c>
      <c r="D11" s="97">
        <f>C11/'Basis-Annahmen'!E34*((1-'Basis-Annahmen'!F19)^(D9-C9))*'Basis-Annahmen'!F34</f>
        <v>10409.539396334418</v>
      </c>
      <c r="E11" s="97">
        <f>D11/'Basis-Annahmen'!F34*((1-'Basis-Annahmen'!G19)^5)*'Basis-Annahmen'!G34</f>
        <v>10045.851678073986</v>
      </c>
      <c r="F11" s="97">
        <f>E11/'Basis-Annahmen'!G34*((1-'Basis-Annahmen'!H19)^5)*'Basis-Annahmen'!H34</f>
        <v>9588.6406167048881</v>
      </c>
      <c r="G11" s="98">
        <f>F11/'Basis-Annahmen'!H34*((1-'Basis-Annahmen'!I19)^5)*'Basis-Annahmen'!I34</f>
        <v>9144.7671240638483</v>
      </c>
      <c r="H11" s="14"/>
    </row>
    <row r="12" spans="1:8" ht="19.5" customHeight="1" x14ac:dyDescent="0.2">
      <c r="B12" s="88" t="s">
        <v>105</v>
      </c>
      <c r="C12" s="96">
        <v>63131.240000000005</v>
      </c>
      <c r="D12" s="97">
        <f>((1-'Basis-Annahmen'!F20)^(D9-C9))*((1+'Basis-Annahmen'!F9)^(D9-C9))*C12</f>
        <v>66225.90992781549</v>
      </c>
      <c r="E12" s="97">
        <f>((1-'Basis-Annahmen'!G20)^5)*((1+'Basis-Annahmen'!G9)^5)*D12</f>
        <v>73993.889071275742</v>
      </c>
      <c r="F12" s="97">
        <f>((1-'Basis-Annahmen'!H20)^5)*((1+'Basis-Annahmen'!H9)^5)*E12</f>
        <v>82673.014623128183</v>
      </c>
      <c r="G12" s="98">
        <f>((1-'Basis-Annahmen'!I20)^5)*((1+'Basis-Annahmen'!I9)^5)*F12</f>
        <v>92370.159653214258</v>
      </c>
      <c r="H12" s="14"/>
    </row>
    <row r="13" spans="1:8" ht="19.5" customHeight="1" x14ac:dyDescent="0.2">
      <c r="B13" s="88" t="s">
        <v>7</v>
      </c>
      <c r="C13" s="96">
        <v>2162.92</v>
      </c>
      <c r="D13" s="97">
        <f>C13*((1-'Basis-Annahmen'!F20)^(D9-C9))</f>
        <v>1747.6022546340016</v>
      </c>
      <c r="E13" s="97">
        <f>D13*((1-'Basis-Annahmen'!G20)^5)</f>
        <v>1620.4056500680194</v>
      </c>
      <c r="F13" s="97">
        <f>E13*((1-'Basis-Annahmen'!H20)^5)</f>
        <v>1502.4668592695659</v>
      </c>
      <c r="G13" s="98">
        <f>F13*((1-'Basis-Annahmen'!I20)^5)</f>
        <v>1393.1120661721927</v>
      </c>
      <c r="H13" s="14"/>
    </row>
    <row r="14" spans="1:8" ht="19.5" customHeight="1" x14ac:dyDescent="0.2">
      <c r="B14" s="88" t="s">
        <v>8</v>
      </c>
      <c r="C14" s="96"/>
      <c r="D14" s="97">
        <f>'Basis-Annahmen'!F46*'Basis-Annahmen'!F51+'Basis-Annahmen'!F47*'Basis-Annahmen'!F52</f>
        <v>1449.4516129032259</v>
      </c>
      <c r="E14" s="97">
        <f>'Basis-Annahmen'!G46*'Basis-Annahmen'!G51+'Basis-Annahmen'!G47*'Basis-Annahmen'!G52</f>
        <v>9051.6774193548372</v>
      </c>
      <c r="F14" s="97">
        <f>'Basis-Annahmen'!H46*'Basis-Annahmen'!H51+'Basis-Annahmen'!H47*'Basis-Annahmen'!H52</f>
        <v>18635.806451612902</v>
      </c>
      <c r="G14" s="98">
        <f>'Basis-Annahmen'!I46*'Basis-Annahmen'!I51+'Basis-Annahmen'!I47*'Basis-Annahmen'!I52</f>
        <v>31947.096774193546</v>
      </c>
      <c r="H14" s="14"/>
    </row>
    <row r="15" spans="1:8" ht="19.5" customHeight="1" x14ac:dyDescent="0.2">
      <c r="B15" s="90" t="s">
        <v>73</v>
      </c>
      <c r="C15" s="99"/>
      <c r="D15" s="285">
        <f>Ausbauziel_Wärme!J33/'Basis-Annahmen'!E56+Ausbauziel_Wärme!J34/'Basis-Annahmen'!E57+Ausbauziel_Wärme!J30/'Basis-Annahmen'!E55</f>
        <v>0</v>
      </c>
      <c r="E15" s="285"/>
      <c r="F15" s="285"/>
      <c r="G15" s="286"/>
      <c r="H15" s="14"/>
    </row>
    <row r="16" spans="1:8" ht="19.5" customHeight="1" x14ac:dyDescent="0.2">
      <c r="B16" s="88" t="s">
        <v>187</v>
      </c>
      <c r="C16" s="106"/>
      <c r="D16" s="101">
        <f>(D10-$C$10)/$C$10</f>
        <v>4.5196328425229609E-2</v>
      </c>
      <c r="E16" s="101">
        <f>(E10-$C$10)/$C$10</f>
        <v>0.24000183579545195</v>
      </c>
      <c r="F16" s="101">
        <f t="shared" ref="F16" si="0">(F10-$C$10)/$C$10</f>
        <v>0.47158097190542664</v>
      </c>
      <c r="G16" s="102">
        <f>(G10-$C$10)/$C$10</f>
        <v>0.76557275522740631</v>
      </c>
      <c r="H16" s="14"/>
    </row>
    <row r="17" spans="1:10" ht="19.5" customHeight="1" x14ac:dyDescent="0.2">
      <c r="B17" s="89" t="s">
        <v>98</v>
      </c>
      <c r="C17" s="107"/>
      <c r="D17" s="104">
        <f>D14/D10</f>
        <v>1.8156158894616192E-2</v>
      </c>
      <c r="E17" s="104">
        <f>E14/E10</f>
        <v>9.5570722370153835E-2</v>
      </c>
      <c r="F17" s="104">
        <f>F14/F10</f>
        <v>0.16579909517650906</v>
      </c>
      <c r="G17" s="105">
        <f>G14/G10</f>
        <v>0.23689937077942275</v>
      </c>
      <c r="H17" s="14"/>
    </row>
    <row r="18" spans="1:10" x14ac:dyDescent="0.2">
      <c r="B18" s="14"/>
      <c r="C18" s="14"/>
      <c r="D18" s="14"/>
      <c r="E18" s="14"/>
      <c r="F18" s="14"/>
      <c r="G18" s="14"/>
      <c r="H18" s="14"/>
    </row>
    <row r="19" spans="1:10" ht="20.100000000000001" customHeight="1" x14ac:dyDescent="0.2">
      <c r="B19" s="273" t="s">
        <v>74</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11835</v>
      </c>
      <c r="G21" s="111"/>
    </row>
    <row r="22" spans="1:10" s="14" customFormat="1" ht="19.5" customHeight="1" x14ac:dyDescent="0.2">
      <c r="B22" s="110" t="s">
        <v>14</v>
      </c>
      <c r="C22" s="122">
        <v>6088</v>
      </c>
      <c r="D22" s="112"/>
      <c r="E22" s="112"/>
      <c r="G22" s="82"/>
    </row>
    <row r="23" spans="1:10" s="14" customFormat="1" ht="19.5" customHeight="1" x14ac:dyDescent="0.2">
      <c r="B23" s="110" t="s">
        <v>15</v>
      </c>
      <c r="C23" s="122">
        <v>3580</v>
      </c>
      <c r="D23" s="112"/>
      <c r="E23" s="112"/>
      <c r="G23" s="82"/>
      <c r="J23" s="146"/>
    </row>
    <row r="24" spans="1:10" s="14" customFormat="1" ht="19.5" customHeight="1" x14ac:dyDescent="0.2">
      <c r="B24" s="110" t="s">
        <v>16</v>
      </c>
      <c r="C24" s="122">
        <v>2167</v>
      </c>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114</v>
      </c>
      <c r="C29" s="126">
        <f>IF(C10-C21&lt;0,0,C10-C21)</f>
        <v>64545.39</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73</v>
      </c>
      <c r="C32" s="284"/>
      <c r="D32" s="284"/>
      <c r="E32" s="284"/>
      <c r="F32" s="284"/>
      <c r="G32" s="284"/>
      <c r="H32" s="14"/>
    </row>
    <row r="35" spans="1:8" ht="19.5" customHeight="1" x14ac:dyDescent="0.2">
      <c r="A35" s="14"/>
      <c r="B35" s="273" t="s">
        <v>68</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69</v>
      </c>
      <c r="C37" s="93">
        <v>143248</v>
      </c>
      <c r="D37" s="94">
        <f>SUM(D38:D40)</f>
        <v>163414.64178696024</v>
      </c>
      <c r="E37" s="94">
        <f>SUM(E38:E40)</f>
        <v>180212.4719694269</v>
      </c>
      <c r="F37" s="94">
        <f t="shared" ref="F37:G37" si="1">SUM(F38:F40)</f>
        <v>199153.93085807102</v>
      </c>
      <c r="G37" s="95">
        <f t="shared" si="1"/>
        <v>221004.11575540842</v>
      </c>
      <c r="H37" s="14"/>
    </row>
    <row r="38" spans="1:8" ht="19.5" customHeight="1" x14ac:dyDescent="0.2">
      <c r="A38" s="14"/>
      <c r="B38" s="113" t="s">
        <v>6</v>
      </c>
      <c r="C38" s="96">
        <v>41908.089999999997</v>
      </c>
      <c r="D38" s="97">
        <f>C38-((('Basis-Annahmen'!$E$40*'Basis-Annahmen'!$E$34*Ausbauziel_Wärme!F$22*(D36-C36))*('Basis-Annahmen'!$E$30-'Basis-Annahmen'!F$29))/1000)+((IF('Basis-Annahmen'!F$34-'Basis-Annahmen'!E$34&lt;0,0,('Basis-Annahmen'!F$34-'Basis-Annahmen'!E$34)*('Basis-Annahmen'!$E$40*'Basis-Annahmen'!F28/1000))))</f>
        <v>41238.579999999994</v>
      </c>
      <c r="E38" s="97">
        <f>D38-((('Basis-Annahmen'!$E$40*'Basis-Annahmen'!$E$34*Ausbauziel_Wärme!G$22*5)*('Basis-Annahmen'!$E$30-'Basis-Annahmen'!G$29))/1000)+((IF('Basis-Annahmen'!G$34-'Basis-Annahmen'!F$34&lt;0,0,('Basis-Annahmen'!G$34-'Basis-Annahmen'!F$34)*('Basis-Annahmen'!$E$40*'Basis-Annahmen'!G28/1000))))</f>
        <v>40526.929999999993</v>
      </c>
      <c r="F38" s="97">
        <f>E38-((('Basis-Annahmen'!$E$40*'Basis-Annahmen'!$E$34*Ausbauziel_Wärme!H$22*5)*('Basis-Annahmen'!$E$30-'Basis-Annahmen'!H$29))/1000)+((IF('Basis-Annahmen'!H$34-'Basis-Annahmen'!G$34&lt;0,0,('Basis-Annahmen'!H$34-'Basis-Annahmen'!G$34)*('Basis-Annahmen'!$E$40*'Basis-Annahmen'!H28/1000))))</f>
        <v>39449.779999999992</v>
      </c>
      <c r="G38" s="98">
        <f>F38-((('Basis-Annahmen'!$E$40*'Basis-Annahmen'!$E$34*Ausbauziel_Wärme!I$22*5)*('Basis-Annahmen'!$E$30-'Basis-Annahmen'!I$29))/1000)+((IF('Basis-Annahmen'!I$34-'Basis-Annahmen'!H$34&lt;0,0,('Basis-Annahmen'!I$34-'Basis-Annahmen'!H$34)*('Basis-Annahmen'!$E$40*'Basis-Annahmen'!I28/1000))))</f>
        <v>38372.62999999999</v>
      </c>
      <c r="H38" s="14"/>
    </row>
    <row r="39" spans="1:8" ht="19.5" customHeight="1" x14ac:dyDescent="0.2">
      <c r="A39" s="14"/>
      <c r="B39" s="113" t="s">
        <v>105</v>
      </c>
      <c r="C39" s="96">
        <v>98484.58</v>
      </c>
      <c r="D39" s="97">
        <f>C39*((1-'Basis-Annahmen'!F$24)^(D36-C36))*((1+'Basis-Annahmen'!F$9)^(D36-C36))</f>
        <v>119177.99476716055</v>
      </c>
      <c r="E39" s="97">
        <f>((1-'Basis-Annahmen'!G$24)^5)*((1+'Basis-Annahmen'!G$9)^5)*'Nachfrage &amp; Erzeugung'!D39</f>
        <v>136571.10221882057</v>
      </c>
      <c r="F39" s="97">
        <f>((1-'Basis-Annahmen'!H$24)^5)*((1+'Basis-Annahmen'!H$9)^5)*'Nachfrage &amp; Erzeugung'!E39</f>
        <v>156502.59930705762</v>
      </c>
      <c r="G39" s="98">
        <f>((1-'Basis-Annahmen'!I$24)^5)*((1+'Basis-Annahmen'!I$9)^5)*'Nachfrage &amp; Erzeugung'!F39</f>
        <v>179342.94438527344</v>
      </c>
      <c r="H39" s="14"/>
    </row>
    <row r="40" spans="1:8" ht="19.5" customHeight="1" x14ac:dyDescent="0.2">
      <c r="A40" s="14"/>
      <c r="B40" s="113" t="s">
        <v>7</v>
      </c>
      <c r="C40" s="96">
        <v>2855</v>
      </c>
      <c r="D40" s="97">
        <f>C40+(C40*'Basis-Annahmen'!F36)*((1-'Basis-Annahmen'!F24)^(D36-C36))</f>
        <v>2998.0670197997019</v>
      </c>
      <c r="E40" s="97">
        <f>D40+(D40*'Basis-Annahmen'!G36)*((1-'Basis-Annahmen'!G24)^5)</f>
        <v>3114.4397506063492</v>
      </c>
      <c r="F40" s="97">
        <f>E40+(E40*'Basis-Annahmen'!H36)*((1-'Basis-Annahmen'!H24)^5)</f>
        <v>3201.5515510133987</v>
      </c>
      <c r="G40" s="98">
        <f>F40+(F40*'Basis-Annahmen'!I36)*((1-'Basis-Annahmen'!I24)^5)</f>
        <v>3288.5413701349889</v>
      </c>
      <c r="H40" s="14"/>
    </row>
    <row r="41" spans="1:8" ht="19.5" customHeight="1" x14ac:dyDescent="0.2">
      <c r="A41" s="14"/>
      <c r="B41" s="189"/>
      <c r="C41" s="100"/>
      <c r="D41" s="100"/>
      <c r="E41" s="100"/>
      <c r="F41" s="100"/>
      <c r="G41" s="116"/>
      <c r="H41" s="14"/>
    </row>
    <row r="42" spans="1:8" ht="19.5" customHeight="1" x14ac:dyDescent="0.2">
      <c r="A42" s="14"/>
      <c r="B42" s="124" t="s">
        <v>187</v>
      </c>
      <c r="C42" s="103"/>
      <c r="D42" s="104">
        <f>(D37-$C$37)/$C$37</f>
        <v>0.14078131483134315</v>
      </c>
      <c r="E42" s="104">
        <f>(E37-$C$37)/$C$37</f>
        <v>0.25804529186743896</v>
      </c>
      <c r="F42" s="104">
        <f>(F37-$C$37)/$C$37</f>
        <v>0.39027372708918112</v>
      </c>
      <c r="G42" s="105">
        <f>(G37-$C$37)/$C$37</f>
        <v>0.54280768845225358</v>
      </c>
      <c r="H42" s="14"/>
    </row>
    <row r="43" spans="1:8" x14ac:dyDescent="0.2">
      <c r="A43" s="14"/>
      <c r="B43" s="14"/>
      <c r="C43" s="14"/>
      <c r="D43" s="14"/>
      <c r="E43" s="14"/>
      <c r="F43" s="14"/>
      <c r="G43" s="14"/>
      <c r="H43" s="14"/>
    </row>
    <row r="44" spans="1:8" ht="19.5" customHeight="1" x14ac:dyDescent="0.2">
      <c r="A44" s="14"/>
      <c r="B44" s="273" t="s">
        <v>76</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57</v>
      </c>
      <c r="C46" s="119">
        <v>31242</v>
      </c>
      <c r="D46" s="117"/>
      <c r="E46" s="100"/>
      <c r="F46" s="100"/>
      <c r="G46" s="82"/>
      <c r="H46" s="14"/>
    </row>
    <row r="47" spans="1:8" ht="19.5" customHeight="1" x14ac:dyDescent="0.2">
      <c r="A47" s="72"/>
      <c r="B47" s="124" t="s">
        <v>77</v>
      </c>
      <c r="C47" s="125">
        <f>IF(C37-C46&lt;0,0,C37-C46)</f>
        <v>112006</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139</v>
      </c>
      <c r="C50" s="274"/>
      <c r="D50" s="274"/>
      <c r="E50" s="274"/>
      <c r="F50" s="274"/>
      <c r="G50" s="275"/>
      <c r="H50" s="14"/>
    </row>
    <row r="51" spans="1:8" ht="52.5" customHeight="1" x14ac:dyDescent="0.2">
      <c r="A51" s="14"/>
      <c r="B51" s="164" t="s">
        <v>138</v>
      </c>
      <c r="C51" s="165" t="s">
        <v>144</v>
      </c>
      <c r="D51" s="165" t="s">
        <v>145</v>
      </c>
      <c r="E51" s="165" t="s">
        <v>146</v>
      </c>
      <c r="F51" s="165" t="s">
        <v>140</v>
      </c>
      <c r="G51" s="92"/>
      <c r="H51" s="14"/>
    </row>
    <row r="52" spans="1:8" ht="19.5" customHeight="1" x14ac:dyDescent="0.2">
      <c r="A52" s="14"/>
      <c r="B52" s="166" t="s">
        <v>194</v>
      </c>
      <c r="C52" s="167">
        <v>0.64443340690980633</v>
      </c>
      <c r="D52" s="167">
        <v>0</v>
      </c>
      <c r="E52" s="167">
        <v>0</v>
      </c>
      <c r="F52" s="168">
        <f>1-D52</f>
        <v>1</v>
      </c>
      <c r="G52" s="95"/>
      <c r="H52" s="14"/>
    </row>
    <row r="53" spans="1:8" ht="19.5" customHeight="1" x14ac:dyDescent="0.2">
      <c r="A53" s="14"/>
      <c r="B53" s="166" t="s">
        <v>195</v>
      </c>
      <c r="C53" s="167">
        <v>0.35556659309019367</v>
      </c>
      <c r="D53" s="167">
        <v>0</v>
      </c>
      <c r="E53" s="167">
        <v>0</v>
      </c>
      <c r="F53" s="168">
        <f t="shared" ref="F53:F68" si="2">1-D53</f>
        <v>1</v>
      </c>
      <c r="G53" s="95"/>
      <c r="H53" s="14"/>
    </row>
    <row r="54" spans="1:8" ht="19.5" customHeight="1" x14ac:dyDescent="0.2">
      <c r="A54" s="14"/>
      <c r="B54" s="166"/>
      <c r="C54" s="167">
        <v>0</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141</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288000</v>
      </c>
      <c r="E9" s="131" t="s">
        <v>13</v>
      </c>
    </row>
    <row r="10" spans="1:6" s="130" customFormat="1" ht="19.5" customHeight="1" x14ac:dyDescent="0.25">
      <c r="B10" s="295" t="s">
        <v>130</v>
      </c>
      <c r="C10" s="296"/>
      <c r="D10" s="96">
        <v>32</v>
      </c>
      <c r="E10" s="145" t="s">
        <v>131</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115</v>
      </c>
      <c r="C13" s="274"/>
      <c r="D13" s="274"/>
      <c r="E13" s="275"/>
    </row>
    <row r="14" spans="1:6" s="130" customFormat="1" ht="19.5" customHeight="1" x14ac:dyDescent="0.25">
      <c r="B14" s="299" t="s">
        <v>19</v>
      </c>
      <c r="C14" s="300"/>
      <c r="D14" s="93">
        <f>D15*D18</f>
        <v>40644.7254675</v>
      </c>
      <c r="E14" s="133" t="s">
        <v>13</v>
      </c>
    </row>
    <row r="15" spans="1:6" s="130" customFormat="1" ht="19.5" customHeight="1" x14ac:dyDescent="0.25">
      <c r="B15" s="297" t="s">
        <v>152</v>
      </c>
      <c r="C15" s="298"/>
      <c r="D15" s="173">
        <v>270964.83645</v>
      </c>
      <c r="E15" s="135" t="s">
        <v>30</v>
      </c>
    </row>
    <row r="16" spans="1:6" s="130" customFormat="1" ht="19.5" customHeight="1" x14ac:dyDescent="0.25">
      <c r="B16" s="297" t="s">
        <v>20</v>
      </c>
      <c r="C16" s="298"/>
      <c r="D16" s="134">
        <v>6</v>
      </c>
      <c r="E16" s="135" t="s">
        <v>123</v>
      </c>
      <c r="F16" s="136"/>
    </row>
    <row r="17" spans="2:6" s="130" customFormat="1" ht="19.5" customHeight="1" x14ac:dyDescent="0.25">
      <c r="B17" s="297" t="s">
        <v>154</v>
      </c>
      <c r="C17" s="298"/>
      <c r="D17" s="137">
        <v>900</v>
      </c>
      <c r="E17" s="135" t="s">
        <v>120</v>
      </c>
    </row>
    <row r="18" spans="2:6" s="130" customFormat="1" ht="19.5" customHeight="1" x14ac:dyDescent="0.25">
      <c r="B18" s="287" t="s">
        <v>153</v>
      </c>
      <c r="C18" s="288"/>
      <c r="D18" s="138">
        <f>(D17/D16)/1000</f>
        <v>0.15</v>
      </c>
      <c r="E18" s="139" t="s">
        <v>124</v>
      </c>
    </row>
    <row r="19" spans="2:6" x14ac:dyDescent="0.25">
      <c r="D19" s="4"/>
    </row>
    <row r="20" spans="2:6" ht="15.75" x14ac:dyDescent="0.25">
      <c r="B20" s="273" t="s">
        <v>116</v>
      </c>
      <c r="C20" s="274"/>
      <c r="D20" s="274"/>
      <c r="E20" s="275"/>
    </row>
    <row r="21" spans="2:6" s="132" customFormat="1" ht="19.5" customHeight="1" x14ac:dyDescent="0.25">
      <c r="B21" s="299" t="s">
        <v>19</v>
      </c>
      <c r="C21" s="300"/>
      <c r="D21" s="93">
        <f>D22*D25</f>
        <v>210960</v>
      </c>
      <c r="E21" s="133" t="s">
        <v>13</v>
      </c>
    </row>
    <row r="22" spans="2:6" s="132" customFormat="1" ht="19.5" customHeight="1" x14ac:dyDescent="0.25">
      <c r="B22" s="297" t="s">
        <v>151</v>
      </c>
      <c r="C22" s="298"/>
      <c r="D22" s="96">
        <v>293</v>
      </c>
      <c r="E22" s="135" t="s">
        <v>10</v>
      </c>
    </row>
    <row r="23" spans="2:6" s="132" customFormat="1" ht="19.5" customHeight="1" x14ac:dyDescent="0.25">
      <c r="B23" s="301" t="s">
        <v>117</v>
      </c>
      <c r="C23" s="302"/>
      <c r="D23" s="137">
        <v>800</v>
      </c>
      <c r="E23" s="135" t="s">
        <v>119</v>
      </c>
    </row>
    <row r="24" spans="2:6" s="132" customFormat="1" ht="19.5" customHeight="1" x14ac:dyDescent="0.25">
      <c r="B24" s="297" t="s">
        <v>150</v>
      </c>
      <c r="C24" s="298"/>
      <c r="D24" s="137">
        <v>900</v>
      </c>
      <c r="E24" s="135" t="s">
        <v>120</v>
      </c>
    </row>
    <row r="25" spans="2:6" s="132" customFormat="1" ht="19.5" customHeight="1" x14ac:dyDescent="0.25">
      <c r="B25" s="287" t="s">
        <v>149</v>
      </c>
      <c r="C25" s="288"/>
      <c r="D25" s="125">
        <f>D23*D24/1000</f>
        <v>720</v>
      </c>
      <c r="E25" s="139" t="s">
        <v>121</v>
      </c>
    </row>
    <row r="27" spans="2:6" ht="15.75" x14ac:dyDescent="0.25">
      <c r="B27" s="273" t="s">
        <v>118</v>
      </c>
      <c r="C27" s="274"/>
      <c r="D27" s="274"/>
      <c r="E27" s="275"/>
    </row>
    <row r="28" spans="2:6" s="130" customFormat="1" ht="19.5" customHeight="1" x14ac:dyDescent="0.25">
      <c r="B28" s="289" t="s">
        <v>117</v>
      </c>
      <c r="C28" s="290"/>
      <c r="D28" s="137">
        <v>300</v>
      </c>
      <c r="E28" s="135" t="s">
        <v>119</v>
      </c>
      <c r="F28" s="140"/>
    </row>
    <row r="29" spans="2:6" s="130" customFormat="1" ht="19.5" customHeight="1" x14ac:dyDescent="0.25">
      <c r="B29" s="291" t="s">
        <v>150</v>
      </c>
      <c r="C29" s="292"/>
      <c r="D29" s="137">
        <v>900</v>
      </c>
      <c r="E29" s="135" t="s">
        <v>120</v>
      </c>
    </row>
    <row r="30" spans="2:6" s="130" customFormat="1" ht="19.5" customHeight="1" x14ac:dyDescent="0.25">
      <c r="B30" s="293" t="s">
        <v>149</v>
      </c>
      <c r="C30" s="294"/>
      <c r="D30" s="125">
        <f>D28*D29/1000</f>
        <v>270</v>
      </c>
      <c r="E30" s="139" t="s">
        <v>121</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2.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2023-02-13T12:55:35Z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